
<file path=[Content_Types].xml><?xml version="1.0" encoding="utf-8"?>
<Types xmlns="http://schemas.openxmlformats.org/package/2006/content-types">
  <Default Extension="rels" ContentType="application/vnd.openxmlformats-package.relationships+xml"/>
  <Default Extension="xlbin" ContentType="application/vnd.openxmlformats-officedocument.spreadsheetml.printerSettings"/>
  <Default Extension="xml" ContentType="application/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
 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lastEdited="4" lowestEdited="4" rupBuild="3820"/>
  <workbookPr/>
  <bookViews>
    <workbookView activeTab="0"/>
  </bookViews>
  <sheets>
    <sheet name="DHW usage" sheetId="1" r:id="rId1"/>
    <sheet name="Monthly overview " sheetId="2" r:id="rId2"/>
    <sheet name="CH heatloss" sheetId="3" r:id="rId3"/>
    <sheet name="Tank Losses" sheetId="4" r:id="rId4"/>
    <sheet name="Gas/Leccy usage" sheetId="5" r:id="rId5"/>
    <sheet name="Simulation" sheetId="6" r:id="rId6"/>
    <sheet name="BOM" sheetId="7" r:id="rId7"/>
    <sheet name="orders" sheetId="8" r:id="rId8"/>
    <sheet name="Pipe Sizing" sheetId="9" r:id="rId9"/>
    <sheet name="Flow rates" sheetId="10" r:id="rId10"/>
    <sheet name="panels" sheetId="11" r:id="rId11"/>
  </sheets>
  <calcPr calcMode="auto" iterate="1" iterateCount="100" iterateDelta="0.001"/>
  <webPublishing codePage="1252"/>
</workbook>
</file>

<file path=xl/sharedStrings.xml><?xml version="1.0" encoding="utf-8"?>
<sst xmlns="http://schemas.openxmlformats.org/spreadsheetml/2006/main" xml:space="preserve" uniqueCount="180" count="180">
  <si>
    <t>DHW</t>
  </si>
  <si>
    <t>length(m)</t>
  </si>
  <si>
    <t>width(m)</t>
  </si>
  <si>
    <t>shower</t>
  </si>
  <si>
    <t>C</t>
  </si>
  <si>
    <t>(Kwh)</t>
  </si>
  <si>
    <t>washMC</t>
  </si>
  <si>
    <t>#/wk</t>
  </si>
  <si>
    <t>Kwh/yr</t>
  </si>
  <si>
    <t>Kwh/day</t>
  </si>
  <si>
    <t>Gas</t>
  </si>
  <si>
    <t>p</t>
  </si>
  <si>
    <t>Space Heating requirement (kwh)</t>
  </si>
  <si>
    <t/>
  </si>
  <si>
    <t>wall</t>
  </si>
  <si>
    <t>ext door</t>
  </si>
  <si>
    <t>floor</t>
  </si>
  <si>
    <t>temp diff</t>
  </si>
  <si>
    <t>Window</t>
  </si>
  <si>
    <t>W</t>
  </si>
  <si>
    <t>kW</t>
  </si>
  <si>
    <t>k (W/mK)</t>
  </si>
  <si>
    <t>plasterboard</t>
  </si>
  <si>
    <t>brick</t>
  </si>
  <si>
    <t>rockwool</t>
  </si>
  <si>
    <t>fibreboard</t>
  </si>
  <si>
    <t>(wholehouse)</t>
  </si>
  <si>
    <t>(roomonly)</t>
  </si>
  <si>
    <t>wookoffice</t>
  </si>
  <si>
    <t>tessoffice</t>
  </si>
  <si>
    <t>vol</t>
  </si>
  <si>
    <t>coeff</t>
  </si>
  <si>
    <t>whole</t>
  </si>
  <si>
    <t>roomonly</t>
  </si>
  <si>
    <t>ventilation</t>
  </si>
  <si>
    <t>External wall(S)</t>
  </si>
  <si>
    <t>External wall(W)</t>
  </si>
  <si>
    <t>Window(W)</t>
  </si>
  <si>
    <t>Ceiling</t>
  </si>
  <si>
    <t>External wall(N)</t>
  </si>
  <si>
    <t>W-office wall</t>
  </si>
  <si>
    <t>Hall wall</t>
  </si>
  <si>
    <t>Bedroom</t>
  </si>
  <si>
    <t>External wall(E)</t>
  </si>
  <si>
    <t>Floor</t>
  </si>
  <si>
    <t>Bathroom</t>
  </si>
  <si>
    <t>Lounge wall</t>
  </si>
  <si>
    <t>double</t>
  </si>
  <si>
    <t>single</t>
  </si>
  <si>
    <t>Manufacturer</t>
  </si>
  <si>
    <t>Navitron</t>
  </si>
  <si>
    <t>read/estimated</t>
  </si>
  <si>
    <t>price for</t>
  </si>
  <si>
    <t>price</t>
  </si>
  <si>
    <t>start</t>
  </si>
  <si>
    <t>end</t>
  </si>
  <si>
    <t>1st</t>
  </si>
  <si>
    <t>cost</t>
  </si>
  <si>
    <t>Kwh</t>
  </si>
  <si>
    <t>£</t>
  </si>
  <si>
    <t>r</t>
  </si>
  <si>
    <t>e</t>
  </si>
  <si>
    <t>Measured</t>
  </si>
  <si>
    <t> (annual total 2007)</t>
  </si>
  <si>
    <t>coil</t>
  </si>
  <si>
    <t>DHW simple</t>
  </si>
  <si>
    <t>Tank+DHW</t>
  </si>
  <si>
    <t>Boiler</t>
  </si>
  <si>
    <t>Solar Circuit, 40 tubes</t>
  </si>
  <si>
    <t>item</t>
  </si>
  <si>
    <t>20 tube 47mm panel</t>
  </si>
  <si>
    <t>navitron</t>
  </si>
  <si>
    <t>.</t>
  </si>
  <si>
    <t>eco-nomical</t>
  </si>
  <si>
    <t>10mm tube</t>
  </si>
  <si>
    <t>BES</t>
  </si>
  <si>
    <t>Expansion tank</t>
  </si>
  <si>
    <t>Antifreeze 5l</t>
  </si>
  <si>
    <t>5l</t>
  </si>
  <si>
    <t>Filler (modified sprayer)</t>
  </si>
  <si>
    <t>PHE</t>
  </si>
  <si>
    <t>Vaillant</t>
  </si>
  <si>
    <t>ebay</t>
  </si>
  <si>
    <t>abotuk.co.uk</t>
  </si>
  <si>
    <t>3-way valve</t>
  </si>
  <si>
    <t>3-way, 22mm</t>
  </si>
  <si>
    <t>hav.co.uk</t>
  </si>
  <si>
    <t>honeywell</t>
  </si>
  <si>
    <t>Zone valve</t>
  </si>
  <si>
    <t>2-way 22mm</t>
  </si>
  <si>
    <t>abcot uk</t>
  </si>
  <si>
    <t>inc expansion vessel, mixervalve</t>
  </si>
  <si>
    <t>210l store, no coils</t>
  </si>
  <si>
    <t>newark</t>
  </si>
  <si>
    <t>1500*450, 75mmins, 5sensor,10boss</t>
  </si>
  <si>
    <t>DHW</t>
  </si>
  <si>
    <t>DPS</t>
  </si>
  <si>
    <t>TMV, 22mm</t>
  </si>
  <si>
    <t>Veissman Vitodens 100</t>
  </si>
  <si>
    <t>18kW</t>
  </si>
  <si>
    <t>inspired heating</t>
  </si>
  <si>
    <t>veissman</t>
  </si>
  <si>
    <t>http://www.inspiredheating.co.uk/acatalog/VIESSMANN_CONDENSING_BOILERS.html</t>
  </si>
  <si>
    <t>  Flue</t>
  </si>
  <si>
    <t>bhl</t>
  </si>
  <si>
    <t>bruderus</t>
  </si>
  <si>
    <t>22mm compression elbow</t>
  </si>
  <si>
    <t>b.e.s</t>
  </si>
  <si>
    <t>3m</t>
  </si>
  <si>
    <t>b.e.s.</t>
  </si>
  <si>
    <t>2m</t>
  </si>
  <si>
    <t>ridgeons</t>
  </si>
  <si>
    <t>plumbworld</t>
  </si>
  <si>
    <t>Rads</t>
  </si>
  <si>
    <t>code</t>
  </si>
  <si>
    <t>Section</t>
  </si>
  <si>
    <t>Length</t>
  </si>
  <si>
    <t>Effective length</t>
  </si>
  <si>
    <t>Boiler power</t>
  </si>
  <si>
    <t>Pipe size</t>
  </si>
  <si>
    <t>pressure loss</t>
  </si>
  <si>
    <t>Notes</t>
  </si>
  <si>
    <t>m</t>
  </si>
  <si>
    <t>mm</t>
  </si>
  <si>
    <t>mbar</t>
  </si>
  <si>
    <t>OK</t>
  </si>
  <si>
    <t>l/m</t>
  </si>
  <si>
    <t>specific heat</t>
  </si>
  <si>
    <t>flow rate</t>
  </si>
  <si>
    <t>pipe size</t>
  </si>
  <si>
    <t>effective length</t>
  </si>
  <si>
    <t>pressure needed</t>
  </si>
  <si>
    <t>kJ/kgC</t>
  </si>
  <si>
    <t>l/s</t>
  </si>
  <si>
    <t>Pa/m</t>
  </si>
  <si>
    <t>Pa</t>
  </si>
  <si>
    <t>12mm</t>
  </si>
  <si>
    <t>15mm</t>
  </si>
  <si>
    <t>22mm</t>
  </si>
  <si>
    <t>Pipe sizes/volumes</t>
  </si>
  <si>
    <t>dia</t>
  </si>
  <si>
    <t>int dia</t>
  </si>
  <si>
    <t>area</t>
  </si>
  <si>
    <t>length</t>
  </si>
  <si>
    <t>Expansion vessel sizing</t>
  </si>
  <si>
    <t>(mm)</t>
  </si>
  <si>
    <t>(mm2)</t>
  </si>
  <si>
    <t>(m)</t>
  </si>
  <si>
    <t>(l)</t>
  </si>
  <si>
    <t>Number of Tubes</t>
  </si>
  <si>
    <t>47mm</t>
  </si>
  <si>
    <t>58mm</t>
  </si>
  <si>
    <t>copper</t>
  </si>
  <si>
    <t>Manifold volume (l)</t>
  </si>
  <si>
    <t>Pipe lengths</t>
  </si>
  <si>
    <t>10mm</t>
  </si>
  <si>
    <t>Pipe volume (l)</t>
  </si>
  <si>
    <t>Heat exchanger type</t>
  </si>
  <si>
    <t>phe</t>
  </si>
  <si>
    <t>(enter 'coil' or 'PHE')</t>
  </si>
  <si>
    <t>PHE dimensions(mm)</t>
  </si>
  <si>
    <t>Hep20</t>
  </si>
  <si>
    <t>PHE volume (l)</t>
  </si>
  <si>
    <t>Coil volume (l)</t>
  </si>
  <si>
    <t>Heat Exchanger Volume(l)</t>
  </si>
  <si>
    <t>Total System  volume (l)</t>
  </si>
  <si>
    <t>Specific steam power at stagnation (W/m2)</t>
  </si>
  <si>
    <t>Pipe dissipation at stangation (W/m)</t>
  </si>
  <si>
    <t>Total stagnation input power (W)</t>
  </si>
  <si>
    <t>Pipe length containing steam (m)</t>
  </si>
  <si>
    <t>(each side)</t>
  </si>
  <si>
    <t>Steam vol (l)</t>
  </si>
  <si>
    <t>Liquid in exp vessel (l)</t>
  </si>
  <si>
    <t>PRV setting (bar)</t>
  </si>
  <si>
    <t>Height from EV to PRV (m)</t>
  </si>
  <si>
    <t>EV preset (bar)</t>
  </si>
  <si>
    <t>EV capacitance</t>
  </si>
  <si>
    <t>Expansion vessel min volume (l)</t>
  </si>
  <si>
    <t>m2</t>
  </si>
  <si>
    <t>W/(m2K2)</t>
  </si>
</sst>
</file>

<file path=xl/styles.xml><?xml version="1.0" encoding="utf-8"?>
<styleSheet xmlns="http://schemas.openxmlformats.org/spreadsheetml/2006/main" xml:space="preserve"/>
</file>

<file path=xl/_rels/workbook.xml.rels><?xml version="1.0" encoding="UTF-8"?>
<Relationships xmlns="http://schemas.openxmlformats.org/package/2006/relationships">
  <Relationship Id="rId13" Type="http://schemas.openxmlformats.org/officeDocument/2006/relationships/styles" Target="styles.xml"/>
  <Relationship Id="rId12" Type="http://schemas.openxmlformats.org/officeDocument/2006/relationships/sharedStrings" Target="sharedStrings.xml"/>
  <Relationship Id="rId11" Type="http://schemas.openxmlformats.org/officeDocument/2006/relationships/worksheet" Target="worksheets/sheet11.xml"/>
  <Relationship Id="rId10" Type="http://schemas.openxmlformats.org/officeDocument/2006/relationships/worksheet" Target="worksheets/sheet10.xml"/>
  <Relationship Id="rId9" Type="http://schemas.openxmlformats.org/officeDocument/2006/relationships/worksheet" Target="worksheets/sheet9.xml"/>
  <Relationship Id="rId8" Type="http://schemas.openxmlformats.org/officeDocument/2006/relationships/worksheet" Target="worksheets/sheet8.xml"/>
  <Relationship Id="rId7" Type="http://schemas.openxmlformats.org/officeDocument/2006/relationships/worksheet" Target="worksheets/sheet7.xml"/>
  <Relationship Id="rId6" Type="http://schemas.openxmlformats.org/officeDocument/2006/relationships/worksheet" Target="worksheets/sheet6.xml"/>
  <Relationship Id="rId5" Type="http://schemas.openxmlformats.org/officeDocument/2006/relationships/worksheet" Target="worksheets/sheet5.xml"/>
  <Relationship Id="rId4" Type="http://schemas.openxmlformats.org/officeDocument/2006/relationships/worksheet" Target="worksheets/sheet4.xml"/>
  <Relationship Id="rId3" Type="http://schemas.openxmlformats.org/officeDocument/2006/relationships/worksheet" Target="worksheets/sheet3.xml"/>
  <Relationship Id="rId2" Type="http://schemas.openxmlformats.org/officeDocument/2006/relationships/worksheet" Target="worksheets/sheet2.xml"/>
  <Relationship Id="rId1" Type="http://schemas.openxmlformats.org/officeDocument/2006/relationships/worksheet" Target="worksheets/sheet1.xml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plotArea/>
    <c:legend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plotArea>
      <c:scatterChart>
        <c:ser>
          <c:idx val="0"/>
          <c:order val="0"/>
          <c:yVal>
            <c:numRef>
              <c:f>'Pipe Sizing'!$E$18:$L$18</c:f>
            </c:numRef>
          </c:yVal>
        </c:ser>
        <c:ser>
          <c:idx val="0"/>
          <c:order val="0"/>
          <c:yVal>
            <c:numRef>
              <c:f>'Pipe Sizing'!$E$19:$L$19</c:f>
            </c:numRef>
          </c:yVal>
        </c:ser>
        <c:ser>
          <c:idx val="0"/>
          <c:order val="0"/>
          <c:yVal>
            <c:numRef>
              <c:f>'Pipe Sizing'!$E$20:$L$20</c:f>
            </c:numRef>
          </c:yVal>
        </c:ser>
        <c:ser>
          <c:idx val="0"/>
          <c:order val="0"/>
          <c:yVal>
            <c:numRef>
              <c:f>'Pipe Sizing'!$E$21:$L$21</c:f>
            </c:numRef>
          </c:yVal>
        </c:ser>
        <c:ser>
          <c:idx val="0"/>
          <c:order val="0"/>
          <c:yVal>
            <c:numRef>
              <c:f>'Pipe Sizing'!$E$22:$L$22</c:f>
            </c:numRef>
          </c:yVal>
        </c:ser>
      </c:scatterChart>
    </c:plotArea>
    <c:legend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plotArea>
      <c:scatterChart>
        <c:ser>
          <c:idx val="0"/>
          <c:order val="0"/>
          <c:yVal>
            <c:numRef>
              <c:f>'Pipe Sizing'!$C$76:$C$105</c:f>
            </c:numRef>
          </c:yVal>
        </c:ser>
        <c:ser>
          <c:idx val="0"/>
          <c:order val="0"/>
          <c:yVal>
            <c:numRef>
              <c:f>'Pipe Sizing'!$D$76:$D$105</c:f>
            </c:numRef>
          </c:yVal>
        </c:ser>
        <c:ser>
          <c:idx val="0"/>
          <c:order val="0"/>
          <c:yVal>
            <c:numRef>
              <c:f>'Pipe Sizing'!$E$76:$E$105</c:f>
            </c:numRef>
          </c:yVal>
        </c:ser>
      </c:scatterChart>
    </c:plotArea>
    <c:legend/>
  </c:chart>
</c:chartSpace>
</file>

<file path=xl/drawings/_rels/drawing1.xml.rels><?xml version="1.0" encoding="UTF-8"?>
<Relationships xmlns="http://schemas.openxmlformats.org/package/2006/relationships">
  <Relationship Id="rId1" Type="http://schemas.openxmlformats.org/officeDocument/2006/relationships/chart" Target="../charts/chart1.xml"/>
</Relationships>

</file>

<file path=xl/drawings/_rels/drawing2.xml.rels><?xml version="1.0" encoding="UTF-8"?>
<Relationships xmlns="http://schemas.openxmlformats.org/package/2006/relationships">
  <Relationship Id="rId2" Type="http://schemas.openxmlformats.org/officeDocument/2006/relationships/chart" Target="../charts/chart3.xml"/>
  <Relationship Id="rId1" Type="http://schemas.openxmlformats.org/officeDocument/2006/relationships/chart" Target="../charts/chart2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80</xdr:row>
      <xdr:rowOff>0</xdr:rowOff>
    </xdr:from>
    <xdr:to>
      <xdr:col>19</xdr:col>
      <xdr:colOff>0</xdr:colOff>
      <xdr:row>103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22</xdr:row>
      <xdr:rowOff>0</xdr:rowOff>
    </xdr:from>
    <xdr:to>
      <xdr:col>12</xdr:col>
      <xdr:colOff>0</xdr:colOff>
      <xdr:row>42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78</xdr:row>
      <xdr:rowOff>0</xdr:rowOff>
    </xdr:from>
    <xdr:to>
      <xdr:col>14</xdr:col>
      <xdr:colOff>0</xdr:colOff>
      <xdr:row>100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5.xml.rels><?xml version="1.0" encoding="UTF-8"?>
<Relationships xmlns="http://schemas.openxmlformats.org/package/2006/relationships">
  <Relationship Id="rId1" Type="http://schemas.openxmlformats.org/officeDocument/2006/relationships/drawing" Target="../drawings/drawing1.xml"/>
</Relationships>

</file>

<file path=xl/worksheets/_rels/sheet9.xml.rels><?xml version="1.0" encoding="UTF-8"?>
<Relationships xmlns="http://schemas.openxmlformats.org/package/2006/relationships">
  <Relationship Id="rId1" Type="http://schemas.openxmlformats.org/officeDocument/2006/relationships/drawing" Target="../drawings/drawing2.xml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Q39"/>
  <sheetViews>
    <sheetView workbookViewId="0" tabSelected="1">
      <selection activeCell="F24" sqref="F24"/>
    </sheetView>
  </sheetViews>
  <sheetFormatPr defaultRowHeight="12.75"/>
  <cols>
    <col min="1" max="1" width="9.142308"/>
    <col min="2" max="2" width="10.85649" customWidth="1"/>
    <col min="3" max="3" width="9.142308"/>
    <col min="4" max="4" width="10.14225" customWidth="1"/>
    <col min="5" max="5" width="10.99934" customWidth="1"/>
    <col min="6" max="6" width="17.28468" bestFit="1" customWidth="1"/>
    <col min="7" max="10" width="9.142308"/>
    <col min="11" max="11" width="10.2851" customWidth="1"/>
    <col min="12" max="17" width="9.142308"/>
  </cols>
  <sheetData>
    <row r="1" spans="1:17">
      <c r="A1" t="s">
        <v>0</v>
      </c>
      <c r="H1" t="str">
        <v>Specific heat of water :</v>
      </c>
      <c r="I1">
        <v>4.185</v>
      </c>
      <c r="J1" t="str">
        <v>(kJ/kgC)</v>
      </c>
      <c r="K1" t="str">
        <v>Jg-1C-1</v>
      </c>
    </row>
    <row r="2" spans="1:17">
      <c r="C2" t="str">
        <v>tank temp(C)</v>
      </c>
      <c r="D2">
        <v>60</v>
      </c>
      <c r="H2" t="str">
        <v>or</v>
      </c>
      <c r="I2">
        <f>I1/3600</f>
        <v>0.0011625</v>
      </c>
      <c r="J2" t="str">
        <v>(Kwh/kgC)</v>
      </c>
    </row>
    <row r="3" spans="1:17">
      <c r="C3" t="str">
        <v>bath temp(C)</v>
      </c>
      <c r="D3">
        <v>37</v>
      </c>
      <c r="G3" t="str">
        <v>shower flow(l/m)</v>
      </c>
      <c r="I3">
        <v>8</v>
      </c>
      <c r="K3" t="str">
        <v>bath depth(cm)</v>
      </c>
      <c r="L3">
        <v>15</v>
      </c>
    </row>
    <row r="4" spans="1:17">
      <c r="B4"/>
      <c r="C4" t="str">
        <v>shower temp(C)</v>
      </c>
      <c r="D4">
        <v>42</v>
      </c>
      <c r="G4" t="str">
        <v>shower time (m)</v>
      </c>
      <c r="I4">
        <v>6</v>
      </c>
      <c r="K4" t="s">
        <v>1</v>
      </c>
      <c r="L4">
        <v>1.35</v>
      </c>
    </row>
    <row r="5" spans="1:17">
      <c r="C5" t="str">
        <v>mains temp(C)</v>
      </c>
      <c r="D5">
        <v>10</v>
      </c>
      <c r="K5" t="s">
        <v>2</v>
      </c>
      <c r="L5">
        <v>0.54</v>
      </c>
    </row>
    <row r="7" spans="1:17">
      <c r="C7" t="str">
        <v>tot vol</v>
      </c>
      <c r="D7" t="str">
        <v>HW vol</v>
      </c>
    </row>
    <row r="8" spans="1:17">
      <c r="B8" t="str">
        <v>bath</v>
      </c>
      <c r="C8">
        <f>L3/10*L4*10*L5*10*0.9</f>
        <v>98.415</v>
      </c>
      <c r="D8">
        <f>C8*(1-($D$2-$D$3)/($D$2-$D5))</f>
        <v>53.1441</v>
      </c>
    </row>
    <row r="9" spans="1:17">
      <c r="B9" t="s">
        <v>3</v>
      </c>
      <c r="C9">
        <f>I3*8</f>
        <v>64</v>
      </c>
      <c r="D9">
        <f>C9*(1-($D$2-$D4)/($D$2-$D$5))</f>
        <v>40.96</v>
      </c>
      <c r="J9" t="str">
        <v>Energy stored in tank down to:</v>
      </c>
      <c r="K9">
        <v>50</v>
      </c>
      <c r="L9" t="s">
        <v>4</v>
      </c>
    </row>
    <row r="10" spans="1:17">
      <c r="B10" t="str">
        <v>dishwasher</v>
      </c>
      <c r="C10">
        <v>20</v>
      </c>
      <c r="D10">
        <v>0</v>
      </c>
      <c r="J10" t="s">
        <v>5</v>
      </c>
    </row>
    <row r="11" spans="1:17">
      <c r="B11" t="s">
        <v>6</v>
      </c>
      <c r="D11">
        <v>56</v>
      </c>
      <c r="J11" t="str">
        <v>Tank temp</v>
      </c>
    </row>
    <row r="12" spans="1:17">
      <c r="B12" t="str">
        <v>handwash</v>
      </c>
      <c r="C12">
        <v>1</v>
      </c>
      <c r="D12">
        <v>0.5</v>
      </c>
      <c r="H12" t="str">
        <v>tank size</v>
      </c>
      <c r="I12">
        <f>$D$2</f>
        <v>60</v>
      </c>
      <c r="J12">
        <v>40</v>
      </c>
      <c r="K12">
        <v>60</v>
      </c>
      <c r="L12">
        <v>80</v>
      </c>
    </row>
    <row r="13" spans="1:17">
      <c r="B13"/>
      <c r="H13">
        <v>100</v>
      </c>
      <c r="I13">
        <f>$H13*$I$2*(I$12-$K$9)</f>
        <v>1.1625</v>
      </c>
      <c r="J13">
        <f>$H13*$I$2*(J$12-$K$9)</f>
        <v>-1.1625</v>
      </c>
      <c r="K13">
        <f>$H13*$I$2*(K$12-$K$9)</f>
        <v>1.1625</v>
      </c>
      <c r="L13">
        <f>$H13*$I$2*(L$12-$K$9)</f>
        <v>3.4875</v>
      </c>
    </row>
    <row r="14" spans="1:17">
      <c r="A14" t="str">
        <v>Avg. Annual use</v>
      </c>
      <c r="D14" t="str">
        <v>#people:</v>
      </c>
      <c r="E14">
        <v>2</v>
      </c>
      <c r="H14">
        <v>130</v>
      </c>
      <c r="I14">
        <f>$H14*$I$2*(I$12-$K$9)</f>
        <v>1.51125</v>
      </c>
      <c r="J14">
        <f>$H14*$I$2*(J$12-$K$9)</f>
        <v>-1.51125</v>
      </c>
      <c r="K14">
        <f>$H14*$I$2*(K$12-$K$9)</f>
        <v>1.51125</v>
      </c>
      <c r="L14">
        <f>$H14*$I$2*(L$12-$K$9)</f>
        <v>4.53375</v>
      </c>
    </row>
    <row r="15" spans="1:17">
      <c r="B15" t="str">
        <v>per person</v>
      </c>
      <c r="D15" t="str">
        <v>household</v>
      </c>
      <c r="H15">
        <v>160</v>
      </c>
      <c r="I15">
        <f>$H15*$I$2*(I$12-$K$9)</f>
        <v>1.86</v>
      </c>
      <c r="J15">
        <f>$H15*$I$2*(J$12-$K$9)</f>
        <v>-1.86</v>
      </c>
      <c r="K15">
        <f>$H15*$I$2*(K$12-$K$9)</f>
        <v>1.86</v>
      </c>
      <c r="L15">
        <f>$H15*$I$2*(L$12-$K$9)</f>
        <v>5.58</v>
      </c>
    </row>
    <row r="16" spans="1:17">
      <c r="B16" t="str">
        <v>#/day</v>
      </c>
      <c r="C16" t="s">
        <v>7</v>
      </c>
      <c r="D16" t="s">
        <v>7</v>
      </c>
      <c r="H16">
        <v>190</v>
      </c>
      <c r="I16">
        <f>$H16*$I$2*(I$12-$K$9)</f>
        <v>2.20875</v>
      </c>
      <c r="J16">
        <f>$H16*$I$2*(J$12-$K$9)</f>
        <v>-2.20875</v>
      </c>
      <c r="K16">
        <f>$H16*$I$2*(K$12-$K$9)</f>
        <v>2.20875</v>
      </c>
      <c r="L16">
        <f>$H16*$I$2*(L$12-$K$9)</f>
        <v>6.62625</v>
      </c>
    </row>
    <row r="17" spans="1:17">
      <c r="E17" t="str">
        <v>usage(l)</v>
      </c>
      <c r="H17">
        <v>220</v>
      </c>
      <c r="I17">
        <f>$H17*$I$2*(I$12-$K$9)</f>
        <v>2.5575</v>
      </c>
      <c r="J17">
        <f>$H17*$I$2*(J$12-$K$9)</f>
        <v>-2.5575</v>
      </c>
      <c r="K17">
        <f>$H17*$I$2*(K$12-$K$9)</f>
        <v>2.5575</v>
      </c>
      <c r="L17">
        <f>$H17*$I$2*(L$12-$K$9)</f>
        <v>7.6725</v>
      </c>
    </row>
    <row r="18" spans="1:17">
      <c r="A18" t="str">
        <v>Bath</v>
      </c>
      <c r="D18">
        <v>1</v>
      </c>
      <c r="E18">
        <f>if(and(isnumber(B18),isnumber(C18)),error,D8*(B18*$E$14*365+(D18+C18*$E$14)*52))</f>
        <v>2763.4932</v>
      </c>
      <c r="H18">
        <v>250</v>
      </c>
      <c r="I18">
        <f>$H18*$I$2*(I$12-$K$9)</f>
        <v>2.90625</v>
      </c>
      <c r="J18">
        <f>$H18*$I$2*(J$12-$K$9)</f>
        <v>-2.90625</v>
      </c>
      <c r="K18">
        <f>$H18*$I$2*(K$12-$K$9)</f>
        <v>2.90625</v>
      </c>
      <c r="L18">
        <f>$H18*$I$2*(L$12-$K$9)</f>
        <v>8.71875</v>
      </c>
    </row>
    <row r="19" spans="1:17">
      <c r="A19" t="s">
        <v>3</v>
      </c>
      <c r="B19">
        <v>0.3</v>
      </c>
      <c r="D19">
        <v>14</v>
      </c>
      <c r="E19">
        <f>if(and(isnumber(B19),isnumber(C19)),error("Choose Day/Week"),D9*(B19*$E$14*365+(D19+C19*$E$14)*52))</f>
        <v>38789.12</v>
      </c>
      <c r="H19">
        <v>280</v>
      </c>
      <c r="I19">
        <f>$H19*$I$2*(I$12-$K$9)</f>
        <v>3.255</v>
      </c>
      <c r="J19">
        <f>$H19*$I$2*(J$12-$K$9)</f>
        <v>-3.255</v>
      </c>
      <c r="K19">
        <f>$H19*$I$2*(K$12-$K$9)</f>
        <v>3.255</v>
      </c>
      <c r="L19">
        <f>$H19*$I$2*(L$12-$K$9)</f>
        <v>9.765</v>
      </c>
    </row>
    <row r="20" spans="1:17">
      <c r="A20" t="str">
        <v>dishwash</v>
      </c>
      <c r="D20">
        <v>2</v>
      </c>
      <c r="E20">
        <f>if(and(isnumber(B20),isnumber(C20)),error("Choose Day/Week"),D10*(B20*$E$14*365+(D20+C20*$E$14)*52))</f>
        <v>0</v>
      </c>
      <c r="H20">
        <v>310</v>
      </c>
      <c r="I20">
        <f>$H20*$I$2*(I$12-$K$9)</f>
        <v>3.60375</v>
      </c>
      <c r="J20">
        <f>$H20*$I$2*(J$12-$K$9)</f>
        <v>-3.60375</v>
      </c>
      <c r="K20">
        <f>$H20*$I$2*(K$12-$K$9)</f>
        <v>3.60375</v>
      </c>
      <c r="L20">
        <f>$H20*$I$2*(L$12-$K$9)</f>
        <v>10.81125</v>
      </c>
    </row>
    <row r="21" spans="1:17">
      <c r="A21" t="s">
        <v>6</v>
      </c>
      <c r="D21">
        <v>1</v>
      </c>
      <c r="E21">
        <f>D11*(D21+C21*$E$14)*52</f>
        <v>2912</v>
      </c>
      <c r="H21">
        <v>340</v>
      </c>
      <c r="I21">
        <f>$H21*$I$2*(I$12-$K$9)</f>
        <v>3.9525</v>
      </c>
      <c r="J21">
        <f>$H21*$I$2*(J$12-$K$9)</f>
        <v>-3.9525</v>
      </c>
      <c r="K21">
        <f>$H21*$I$2*(K$12-$K$9)</f>
        <v>3.9525</v>
      </c>
      <c r="L21">
        <f>$H21*$I$2*(L$12-$K$9)</f>
        <v>11.8575</v>
      </c>
    </row>
    <row r="22" spans="1:17">
      <c r="A22" t="str">
        <v>hands</v>
      </c>
      <c r="B22">
        <v>2</v>
      </c>
      <c r="C22"/>
      <c r="E22">
        <f>if(and(isnumber(B22),isnumber(C22)),error("Choose Day/Week"),D12*(B22*$E$14*365+(D22+C22*$E$14)*52))</f>
        <v>730</v>
      </c>
      <c r="H22">
        <v>370</v>
      </c>
      <c r="I22">
        <f>$H22*$I$2*(I$12-$K$9)</f>
        <v>4.30125</v>
      </c>
      <c r="J22">
        <f>$H22*$I$2*(J$12-$K$9)</f>
        <v>-4.30125</v>
      </c>
      <c r="K22">
        <f>$H22*$I$2*(K$12-$K$9)</f>
        <v>4.30125</v>
      </c>
      <c r="L22">
        <f>$H22*$I$2*(L$12-$K$9)</f>
        <v>12.90375</v>
      </c>
    </row>
    <row r="23" spans="1:17">
      <c r="A23" t="str">
        <v>other(l)</v>
      </c>
      <c r="D23">
        <v>10</v>
      </c>
      <c r="E23">
        <f>(D23+C23*$E$14)*52</f>
        <v>520</v>
      </c>
      <c r="H23">
        <v>400</v>
      </c>
      <c r="I23">
        <f>$H23*$I$2*(I$12-$K$9)</f>
        <v>4.65</v>
      </c>
      <c r="J23">
        <f>$H23*$I$2*(J$12-$K$9)</f>
        <v>-4.65</v>
      </c>
      <c r="K23">
        <f>$H23*$I$2*(K$12-$K$9)</f>
        <v>4.65</v>
      </c>
      <c r="L23">
        <f>$H23*$I$2*(L$12-$K$9)</f>
        <v>13.95</v>
      </c>
    </row>
    <row r="24" spans="1:17">
      <c r="B24" t="str">
        <v>l/d/person:</v>
      </c>
      <c r="C24">
        <f>E24/356/E14</f>
        <v>64.2059174157303</v>
      </c>
      <c r="E24">
        <f>sum(E18:E23)</f>
        <v>45714.6132</v>
      </c>
      <c r="H24">
        <v>450</v>
      </c>
      <c r="I24">
        <f>$H24*$I$2*(I$12-$K$9)</f>
        <v>5.23125</v>
      </c>
      <c r="J24">
        <f>$H24*$I$2*(J$12-$K$9)</f>
        <v>-5.23125</v>
      </c>
      <c r="K24">
        <f>$H24*$I$2*(K$12-$K$9)</f>
        <v>5.23125</v>
      </c>
      <c r="L24">
        <f>$H24*$I$2*(L$12-$K$9)</f>
        <v>15.69375</v>
      </c>
    </row>
    <row r="25" spans="1:17">
      <c r="D25" t="s">
        <v>8</v>
      </c>
      <c r="E25">
        <f>(D2-D5)*$I$2*E24</f>
        <v>2657.16189225</v>
      </c>
      <c r="H25">
        <v>500</v>
      </c>
      <c r="I25">
        <f>$H25*$I$2*(I$12-$K$9)</f>
        <v>5.8125</v>
      </c>
      <c r="J25">
        <f>$H25*$I$2*(J$12-$K$9)</f>
        <v>-5.8125</v>
      </c>
      <c r="K25">
        <f>$H25*$I$2*(K$12-$K$9)</f>
        <v>5.8125</v>
      </c>
      <c r="L25">
        <f>$H25*$I$2*(L$12-$K$9)</f>
        <v>17.4375</v>
      </c>
    </row>
    <row r="26" spans="1:17">
      <c r="D26" t="s">
        <v>9</v>
      </c>
      <c r="E26">
        <f>E25/365</f>
        <v>7.27989559520548</v>
      </c>
      <c r="H26">
        <v>600</v>
      </c>
      <c r="I26">
        <f>$H26*$I$2*(I$12-$K$9)</f>
        <v>6.975</v>
      </c>
      <c r="J26">
        <f>$H26*$I$2*(J$12-$K$9)</f>
        <v>-6.975</v>
      </c>
      <c r="K26">
        <f>$H26*$I$2*(K$12-$K$9)</f>
        <v>6.975</v>
      </c>
      <c r="L26">
        <f>$H26*$I$2*(L$12-$K$9)</f>
        <v>20.925</v>
      </c>
    </row>
    <row r="27" spans="1:17">
      <c r="B27" t="s">
        <v>10</v>
      </c>
      <c r="C27">
        <v>6</v>
      </c>
      <c r="D27" t="s">
        <v>11</v>
      </c>
      <c r="E27">
        <f>E$25*C27/100</f>
        <v>159.429713535</v>
      </c>
      <c r="H27">
        <v>700</v>
      </c>
      <c r="I27">
        <f>$H27*$I$2*(I$12-$K$9)</f>
        <v>8.1375</v>
      </c>
      <c r="J27">
        <f>$H27*$I$2*(J$12-$K$9)</f>
        <v>-8.1375</v>
      </c>
      <c r="K27">
        <f>$H27*$I$2*(K$12-$K$9)</f>
        <v>8.1375</v>
      </c>
      <c r="L27">
        <f>$H27*$I$2*(L$12-$K$9)</f>
        <v>24.4125</v>
      </c>
    </row>
    <row r="28" spans="1:17">
      <c r="B28" t="str">
        <v>Electric</v>
      </c>
      <c r="C28">
        <v>11</v>
      </c>
      <c r="D28" t="s">
        <v>11</v>
      </c>
      <c r="E28">
        <f>E$25*C28/100</f>
        <v>292.2878081475</v>
      </c>
      <c r="H28">
        <v>800</v>
      </c>
      <c r="I28">
        <f>$H28*$I$2*(I$12-$K$9)</f>
        <v>9.3</v>
      </c>
      <c r="J28">
        <f>$H28*$I$2*(J$12-$K$9)</f>
        <v>-9.3</v>
      </c>
      <c r="K28">
        <f>$H28*$I$2*(K$12-$K$9)</f>
        <v>9.3</v>
      </c>
      <c r="L28">
        <f>$H28*$I$2*(L$12-$K$9)</f>
        <v>27.9</v>
      </c>
    </row>
    <row r="29" spans="1:17">
      <c r="H29">
        <v>900</v>
      </c>
      <c r="I29">
        <f>$H29*$I$2*(I$12-$K$9)</f>
        <v>10.4625</v>
      </c>
      <c r="J29">
        <f>$H29*$I$2*(J$12-$K$9)</f>
        <v>-10.4625</v>
      </c>
      <c r="K29">
        <f>$H29*$I$2*(K$12-$K$9)</f>
        <v>10.4625</v>
      </c>
      <c r="L29">
        <f>$H29*$I$2*(L$12-$K$9)</f>
        <v>31.3875</v>
      </c>
    </row>
    <row r="30" spans="1:17">
      <c r="H30">
        <v>1000</v>
      </c>
      <c r="I30">
        <f>$H30*$I$2*(I$12-$K$9)</f>
        <v>11.625</v>
      </c>
      <c r="J30">
        <f>$H30*$I$2*(J$12-$K$9)</f>
        <v>-11.625</v>
      </c>
      <c r="K30">
        <f>$H30*$I$2*(K$12-$K$9)</f>
        <v>11.625</v>
      </c>
      <c r="L30">
        <f>$H30*$I$2*(L$12-$K$9)</f>
        <v>34.875</v>
      </c>
    </row>
    <row r="31" spans="1:17">
      <c r="H31">
        <v>1500</v>
      </c>
      <c r="I31">
        <f>$H31*$I$2*(I$12-$K$9)</f>
        <v>17.4375</v>
      </c>
      <c r="J31">
        <f>$H31*$I$2*(J$12-$K$9)</f>
        <v>-17.4375</v>
      </c>
      <c r="K31">
        <f>$H31*$I$2*(K$12-$K$9)</f>
        <v>17.4375</v>
      </c>
      <c r="L31">
        <f>$H31*$I$2*(L$12-$K$9)</f>
        <v>52.3125</v>
      </c>
    </row>
    <row r="32" spans="1:17">
      <c r="H32">
        <v>2000</v>
      </c>
      <c r="I32">
        <f>$H32*$I$2*(I$12-$K$9)</f>
        <v>23.25</v>
      </c>
      <c r="J32">
        <f>$H32*$I$2*(J$12-$K$9)</f>
        <v>-23.25</v>
      </c>
      <c r="K32">
        <f>$H32*$I$2*(K$12-$K$9)</f>
        <v>23.25</v>
      </c>
      <c r="L32">
        <f>$H32*$I$2*(L$12-$K$9)</f>
        <v>69.75</v>
      </c>
    </row>
    <row r="33" spans="1:17">
      <c r="H33">
        <v>2500</v>
      </c>
      <c r="I33">
        <f>$H33*$I$2*(I$12-$K$9)</f>
        <v>29.0625</v>
      </c>
      <c r="J33">
        <f>$H33*$I$2*(J$12-$K$9)</f>
        <v>-29.0625</v>
      </c>
      <c r="K33">
        <f>$H33*$I$2*(K$12-$K$9)</f>
        <v>29.0625</v>
      </c>
      <c r="L33">
        <f>$H33*$I$2*(L$12-$K$9)</f>
        <v>87.1875</v>
      </c>
    </row>
    <row r="34" spans="1:17">
      <c r="H34">
        <v>3000</v>
      </c>
      <c r="I34">
        <f>$H34*$I$2*(I$12-$K$9)</f>
        <v>34.875</v>
      </c>
      <c r="J34">
        <f>$H34*$I$2*(J$12-$K$9)</f>
        <v>-34.875</v>
      </c>
      <c r="K34">
        <f>$H34*$I$2*(K$12-$K$9)</f>
        <v>34.875</v>
      </c>
      <c r="L34">
        <f>$H34*$I$2*(L$12-$K$9)</f>
        <v>104.625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" bottom="1" header="0.5906" footer="0.3937"/>
  <pageSetup/>
</worksheet>
</file>

<file path=xl/worksheets/sheet10.xml><?xml version="1.0" encoding="utf-8"?>
<worksheet xmlns="http://schemas.openxmlformats.org/spreadsheetml/2006/main" xmlns:r="http://schemas.openxmlformats.org/officeDocument/2006/relationships">
  <dimension ref="A1:P29"/>
  <sheetViews>
    <sheetView topLeftCell="G1" workbookViewId="0">
      <selection activeCell="M25" sqref="M25"/>
    </sheetView>
  </sheetViews>
  <sheetFormatPr defaultRowHeight="12.75"/>
  <cols>
    <col min="1" max="4" width="9.142308"/>
    <col min="5" max="5" width="13.99916" bestFit="1" customWidth="1"/>
    <col min="6" max="8" width="9.142308"/>
    <col min="11" max="11" width="5.428245" customWidth="1"/>
    <col min="12" max="12" width="31.42668" customWidth="1"/>
    <col min="13" max="13" width="9.428005" customWidth="1"/>
    <col min="14" max="16" width="9.142308"/>
  </cols>
  <sheetData>
    <row r="1" spans="1:16">
      <c r="A1" t="s">
        <v>139</v>
      </c>
    </row>
    <row r="2" spans="1:16">
      <c r="B2" t="s">
        <v>140</v>
      </c>
      <c r="C2" t="s">
        <v>141</v>
      </c>
      <c r="D2" t="s">
        <v>142</v>
      </c>
      <c r="E2" t="s">
        <v>143</v>
      </c>
      <c r="F2" t="s">
        <v>30</v>
      </c>
      <c r="L2" t="s">
        <v>144</v>
      </c>
    </row>
    <row r="3" spans="1:16">
      <c r="B3" t="s">
        <v>145</v>
      </c>
      <c r="C3" t="s">
        <v>146</v>
      </c>
      <c r="D3" t="s">
        <v>145</v>
      </c>
      <c r="E3" t="s">
        <v>147</v>
      </c>
      <c r="F3" t="s">
        <v>148</v>
      </c>
      <c r="L3" t="s">
        <v>149</v>
      </c>
      <c r="M3" t="s">
        <v>150</v>
      </c>
      <c r="N3" t="s">
        <v>151</v>
      </c>
    </row>
    <row r="4" spans="1:16">
      <c r="A4" t="s">
        <v>152</v>
      </c>
      <c r="B4">
        <v>28</v>
      </c>
      <c r="C4">
        <f>B4-0.9*2</f>
        <v>26.2</v>
      </c>
      <c r="D4">
        <f>pi()*(C4/2)^2</f>
        <v>539.128715282544</v>
      </c>
      <c r="E4">
        <v>1</v>
      </c>
      <c r="F4">
        <f>E4*D4/1000</f>
        <v>0.539128715282544</v>
      </c>
      <c r="M4">
        <v>40</v>
      </c>
      <c r="N4">
        <v>0</v>
      </c>
    </row>
    <row r="5" spans="1:16">
      <c r="A5" t="s">
        <v>152</v>
      </c>
      <c r="B5">
        <v>22</v>
      </c>
      <c r="C5">
        <f>B5-0.9*2</f>
        <v>20.2</v>
      </c>
      <c r="D5">
        <f>pi()*(C5/2)^2</f>
        <v>320.473866592695</v>
      </c>
      <c r="E5">
        <v>1</v>
      </c>
      <c r="F5">
        <f>E5*D5/1000</f>
        <v>0.320473866592695</v>
      </c>
      <c r="L5" t="s">
        <v>153</v>
      </c>
      <c r="M5">
        <f>M4/20*1.2+N4/20*1.5</f>
        <v>2.4</v>
      </c>
    </row>
    <row r="6" spans="1:16">
      <c r="A6" t="s">
        <v>152</v>
      </c>
      <c r="B6">
        <v>15</v>
      </c>
      <c r="C6">
        <f>B6-0.7*2</f>
        <v>13.6</v>
      </c>
      <c r="D6">
        <f>pi()*(C6/2)^2</f>
        <v>145.267244301992</v>
      </c>
      <c r="E6">
        <v>1</v>
      </c>
      <c r="F6">
        <f>E6*D6/1000</f>
        <v>0.145267244301992</v>
      </c>
      <c r="L6" t="s">
        <v>154</v>
      </c>
      <c r="M6" t="s">
        <v>155</v>
      </c>
      <c r="N6" t="s">
        <v>136</v>
      </c>
      <c r="O6" t="s">
        <v>137</v>
      </c>
      <c r="P6" t="s">
        <v>138</v>
      </c>
    </row>
    <row r="7" spans="1:16">
      <c r="A7" t="s">
        <v>152</v>
      </c>
      <c r="B7">
        <v>12</v>
      </c>
      <c r="C7">
        <f>B7-0.7</f>
        <v>11.3</v>
      </c>
      <c r="D7">
        <f>pi()*(C7/2)^2</f>
        <v>100.28749148422</v>
      </c>
      <c r="E7">
        <v>1</v>
      </c>
      <c r="F7">
        <f>E7*D7/1000</f>
        <v>0.10028749148422</v>
      </c>
      <c r="M7">
        <v>12</v>
      </c>
      <c r="N7">
        <v>0</v>
      </c>
      <c r="O7">
        <v>1</v>
      </c>
      <c r="P7">
        <v>0.2</v>
      </c>
    </row>
    <row r="8" spans="1:16">
      <c r="A8" t="s">
        <v>152</v>
      </c>
      <c r="B8">
        <v>10</v>
      </c>
      <c r="C8">
        <f>B8-0.6*2</f>
        <v>8.8</v>
      </c>
      <c r="D8">
        <f>pi()*(C8/2)^2</f>
        <v>60.8212337734984</v>
      </c>
      <c r="E8">
        <v>1</v>
      </c>
      <c r="F8">
        <f>E8*D8/1000</f>
        <v>0.0608212337734984</v>
      </c>
      <c r="L8" t="s">
        <v>156</v>
      </c>
      <c r="M8">
        <f>M7*F8+N7*F7+O7*F6+P7*F5</f>
        <v>0.939216822902512</v>
      </c>
    </row>
    <row r="9" spans="1:16">
      <c r="A9" t="s">
        <v>152</v>
      </c>
      <c r="B9">
        <v>8</v>
      </c>
      <c r="C9">
        <f>B9-0.6*2</f>
        <v>6.8</v>
      </c>
      <c r="D9">
        <f>pi()*(C9/2)^2</f>
        <v>36.316811075498</v>
      </c>
      <c r="E9">
        <v>1</v>
      </c>
      <c r="F9">
        <f>E9*D9/1000</f>
        <v>0.036316811075498</v>
      </c>
      <c r="L9" t="s">
        <v>157</v>
      </c>
      <c r="M9" t="s">
        <v>158</v>
      </c>
      <c r="N9" t="s">
        <v>159</v>
      </c>
    </row>
    <row r="10" spans="1:16">
      <c r="A10" t="str">
        <v>Hep2O</v>
      </c>
      <c r="B10">
        <v>22</v>
      </c>
      <c r="C10">
        <f>B10-2*2</f>
        <v>18</v>
      </c>
      <c r="D10">
        <f>pi()*(C10/2)^2</f>
        <v>254.469004940773</v>
      </c>
      <c r="E10">
        <v>1</v>
      </c>
      <c r="F10">
        <f>E10*D10/1000</f>
        <v>0.254469004940773</v>
      </c>
      <c r="H10" t="str">
        <v>guessed wall thickness</v>
      </c>
      <c r="L10" t="s">
        <v>160</v>
      </c>
      <c r="N10">
        <v>190</v>
      </c>
      <c r="O10">
        <v>50</v>
      </c>
      <c r="P10">
        <v>90</v>
      </c>
    </row>
    <row r="11" spans="1:16">
      <c r="A11" t="s">
        <v>161</v>
      </c>
      <c r="B11">
        <v>15</v>
      </c>
      <c r="C11">
        <f>B11-1.6*2</f>
        <v>11.8</v>
      </c>
      <c r="D11">
        <f>pi()*(C11/2)^2</f>
        <v>109.358840271461</v>
      </c>
      <c r="E11">
        <v>1</v>
      </c>
      <c r="F11">
        <f>E11*D11/1000</f>
        <v>0.109358840271461</v>
      </c>
      <c r="L11" t="s">
        <v>162</v>
      </c>
      <c r="N11">
        <f>N10*O10*P10/1000/1000/2</f>
        <v>0.4275</v>
      </c>
    </row>
    <row r="12" spans="1:16">
      <c r="A12" t="s">
        <v>161</v>
      </c>
      <c r="B12">
        <v>10</v>
      </c>
      <c r="C12">
        <f>B12-1.4*2</f>
        <v>7.2</v>
      </c>
      <c r="D12">
        <f>pi()*(C12/2)^2</f>
        <v>40.7150407905237</v>
      </c>
      <c r="E12">
        <v>1</v>
      </c>
      <c r="F12">
        <f>E12*D12/1000</f>
        <v>0.0407150407905237</v>
      </c>
      <c r="L12" t="s">
        <v>163</v>
      </c>
      <c r="N12">
        <v>1.8</v>
      </c>
    </row>
    <row r="13" spans="1:16">
      <c r="L13" t="s">
        <v>164</v>
      </c>
      <c r="M13">
        <f>if(M9="PHE",N11,0)+if(M9="coil",N12,0)</f>
        <v>0.4275</v>
      </c>
    </row>
    <row r="14" spans="1:16">
      <c r="C14" t="str">
        <v>flowrate</v>
      </c>
      <c r="D14" t="str">
        <v>Velocity</v>
      </c>
      <c r="L14" t="s">
        <v>165</v>
      </c>
      <c r="M14">
        <f>M5+M8+M13</f>
        <v>3.76671682290251</v>
      </c>
    </row>
    <row r="15" spans="1:16">
      <c r="C15" t="s">
        <v>126</v>
      </c>
      <c r="D15" t="str">
        <v>m/s</v>
      </c>
    </row>
    <row r="16" spans="1:16">
      <c r="A16" t="s">
        <v>152</v>
      </c>
      <c r="B16">
        <v>22</v>
      </c>
      <c r="C16">
        <v>19</v>
      </c>
      <c r="D16">
        <f>C16/$F5/60</f>
        <v>0.988120092391599</v>
      </c>
      <c r="L16" t="s">
        <v>166</v>
      </c>
      <c r="N16">
        <v>30</v>
      </c>
    </row>
    <row r="17" spans="1:16">
      <c r="B17">
        <v>15</v>
      </c>
      <c r="C17">
        <v>15</v>
      </c>
      <c r="D17">
        <f>C17/$F6/60</f>
        <v>1.72096608014593</v>
      </c>
      <c r="L17" t="s">
        <v>167</v>
      </c>
      <c r="N17">
        <v>25</v>
      </c>
    </row>
    <row r="18" spans="1:16">
      <c r="B18">
        <v>12</v>
      </c>
      <c r="C18">
        <v>6</v>
      </c>
      <c r="D18">
        <f>C18/$F7/60</f>
        <v>0.997133326599704</v>
      </c>
      <c r="L18" t="s">
        <v>168</v>
      </c>
      <c r="M18">
        <f>N16*1.41*M4/20+N16*2.09*N4/20</f>
        <v>84.6</v>
      </c>
    </row>
    <row r="19" spans="1:16">
      <c r="B19">
        <v>10</v>
      </c>
      <c r="C19">
        <v>3.6</v>
      </c>
      <c r="D19">
        <f>C19/$F8/60</f>
        <v>0.986497581148111</v>
      </c>
      <c r="L19" t="s">
        <v>169</v>
      </c>
      <c r="M19">
        <f>M18/N17/2</f>
        <v>1.692</v>
      </c>
      <c r="N19" t="s">
        <v>170</v>
      </c>
    </row>
    <row r="20" spans="1:16">
      <c r="B20">
        <v>8</v>
      </c>
      <c r="C20">
        <v>2.2</v>
      </c>
      <c r="D20">
        <f>C20/$F9/60</f>
        <v>1.00963343368561</v>
      </c>
    </row>
    <row r="21" spans="1:16">
      <c r="A21" t="str">
        <v>Plastic</v>
      </c>
      <c r="B21">
        <v>22</v>
      </c>
      <c r="C21">
        <v>5</v>
      </c>
      <c r="D21">
        <f>C21/$F10/60</f>
        <v>0.327479306773447</v>
      </c>
      <c r="L21" t="s">
        <v>171</v>
      </c>
      <c r="M21">
        <f>M5+F8*M19*2</f>
        <v>2.60581905508952</v>
      </c>
    </row>
    <row r="22" spans="1:16">
      <c r="B22">
        <v>15</v>
      </c>
      <c r="C22">
        <v>5</v>
      </c>
      <c r="D22">
        <f>C22/$F11/60</f>
        <v>0.762017346987912</v>
      </c>
      <c r="L22" t="s">
        <v>172</v>
      </c>
      <c r="M22">
        <v>0</v>
      </c>
    </row>
    <row r="23" spans="1:16">
      <c r="B23">
        <v>10</v>
      </c>
      <c r="C23">
        <v>5</v>
      </c>
      <c r="D23">
        <f>C23/$F12/60</f>
        <v>2.04674566733404</v>
      </c>
      <c r="L23" t="s">
        <v>173</v>
      </c>
      <c r="M23">
        <v>3</v>
      </c>
    </row>
    <row r="24" spans="1:16">
      <c r="L24" t="s">
        <v>174</v>
      </c>
      <c r="M24">
        <v>1</v>
      </c>
    </row>
    <row r="25" spans="1:16">
      <c r="L25" t="s">
        <v>175</v>
      </c>
      <c r="M25">
        <v>1.3</v>
      </c>
    </row>
    <row r="27" spans="1:16">
      <c r="L27" t="s">
        <v>176</v>
      </c>
      <c r="M27">
        <f>(M23*0.8-M24*0.1+1-(M25+1)/0.9)/(M23-M24*0.1+1)</f>
        <v>0.190883190883191</v>
      </c>
    </row>
    <row r="29" spans="1:16">
      <c r="L29" t="s">
        <v>177</v>
      </c>
      <c r="M29">
        <f>(M14*0.09+M21+M22)/M27</f>
        <v>15.4273592951031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11.xml><?xml version="1.0" encoding="utf-8"?>
<worksheet xmlns="http://schemas.openxmlformats.org/spreadsheetml/2006/main" xmlns:r="http://schemas.openxmlformats.org/officeDocument/2006/relationships">
  <dimension ref="A1:S12"/>
  <sheetViews>
    <sheetView topLeftCell="B1" workbookViewId="0">
      <selection activeCell="I8" sqref="I8"/>
    </sheetView>
  </sheetViews>
  <sheetFormatPr defaultRowHeight="12.75"/>
  <cols>
    <col min="1" max="8" width="9.142308"/>
    <col min="9" max="9" width="18.42746" bestFit="1" customWidth="1"/>
    <col min="10" max="18" width="9.142308"/>
    <col min="19" max="19" width="21.14159" bestFit="1" customWidth="1"/>
  </cols>
  <sheetData>
    <row r="1" spans="1:19">
      <c r="A1" t="str">
        <v>Panel efficiency/cost</v>
      </c>
    </row>
    <row r="2" spans="1:19">
      <c r="D2" t="str">
        <v>special</v>
      </c>
      <c r="E2" t="s">
        <v>53</v>
      </c>
      <c r="F2" t="str">
        <v>width</v>
      </c>
      <c r="G2" t="s">
        <v>143</v>
      </c>
      <c r="H2" t="str">
        <v>height</v>
      </c>
      <c r="I2" t="str">
        <v>aperture</v>
      </c>
      <c r="J2" t="str">
        <v>absorber</v>
      </c>
      <c r="K2" t="str">
        <v>gross area</v>
      </c>
      <c r="L2" t="str">
        <v>loss coef a2</v>
      </c>
      <c r="M2" t="str">
        <v>loss coef a1</v>
      </c>
      <c r="N2" t="str">
        <v>Conversion factor</v>
      </c>
      <c r="O2" t="s">
        <v>142</v>
      </c>
      <c r="P2" t="str">
        <v>power</v>
      </c>
      <c r="Q2" t="str">
        <v>manifold vol</v>
      </c>
    </row>
    <row r="3" spans="1:19">
      <c r="D3" t="s">
        <v>59</v>
      </c>
      <c r="E3" t="s">
        <v>59</v>
      </c>
      <c r="F3" t="s">
        <v>123</v>
      </c>
      <c r="G3" t="s">
        <v>123</v>
      </c>
      <c r="H3" t="s">
        <v>123</v>
      </c>
      <c r="I3" t="s">
        <v>178</v>
      </c>
      <c r="J3" t="s">
        <v>178</v>
      </c>
      <c r="K3" t="s">
        <v>178</v>
      </c>
      <c r="L3" t="s">
        <v>179</v>
      </c>
      <c r="M3" t="s">
        <v>179</v>
      </c>
      <c r="O3" t="s">
        <v>178</v>
      </c>
      <c r="P3" t="str">
        <v>kWh/m2</v>
      </c>
      <c r="Q3" t="str">
        <v>l</v>
      </c>
    </row>
    <row r="4" spans="1:19">
      <c r="A4" t="str">
        <v>Navitron SFB20</v>
      </c>
      <c r="E4">
        <v>395</v>
      </c>
      <c r="F4">
        <v>1466</v>
      </c>
      <c r="G4">
        <v>1639</v>
      </c>
      <c r="I4">
        <v>1.747</v>
      </c>
      <c r="K4">
        <v>2.25</v>
      </c>
      <c r="L4">
        <v>0.004</v>
      </c>
      <c r="M4">
        <v>1.61</v>
      </c>
      <c r="N4">
        <v>0.561</v>
      </c>
      <c r="O4">
        <v>1.41</v>
      </c>
      <c r="P4">
        <v>626</v>
      </c>
      <c r="Q4">
        <v>0.9</v>
      </c>
      <c r="R4">
        <v>761</v>
      </c>
    </row>
    <row r="5" spans="1:19">
      <c r="A5" t="str">
        <v>economical 47-1500-20</v>
      </c>
      <c r="D5">
        <v>256.15</v>
      </c>
      <c r="E5">
        <v>319.6</v>
      </c>
      <c r="F5">
        <v>1610</v>
      </c>
      <c r="G5">
        <v>1700</v>
      </c>
      <c r="H5">
        <v>140</v>
      </c>
      <c r="I5">
        <v>1.26</v>
      </c>
      <c r="J5">
        <v>1.15</v>
      </c>
      <c r="K5">
        <v>2.74</v>
      </c>
      <c r="Q5">
        <v>1</v>
      </c>
      <c r="R5">
        <v>650</v>
      </c>
      <c r="S5">
        <f>R5/R4</f>
        <v>0.854139290407359</v>
      </c>
    </row>
    <row r="6" spans="1:19">
      <c r="A6" t="str">
        <v>economical 58-1800-20</v>
      </c>
      <c r="I6">
        <f>1.706/18*20</f>
        <v>1.89555555555556</v>
      </c>
      <c r="J6">
        <f>1.451/18*20</f>
        <v>1.61222222222222</v>
      </c>
      <c r="L6">
        <v>0.0083</v>
      </c>
      <c r="M6">
        <v>2.085</v>
      </c>
      <c r="N6">
        <v>0.573</v>
      </c>
    </row>
    <row r="7" spans="1:19">
      <c r="D7">
        <f>D5/E4</f>
        <v>0.648481012658228</v>
      </c>
      <c r="E7">
        <f>E5/E4</f>
        <v>0.809113924050633</v>
      </c>
      <c r="I7">
        <f>I6*47/58/1800*1500</f>
        <v>1.28004469987229</v>
      </c>
    </row>
    <row r="9" spans="1:19">
      <c r="E9" t="str">
        <v>η(x) = η0 – a1 * x – a2 * x^2 * Gk
where x = (Tm – Ta) / Gk</v>
      </c>
    </row>
    <row r="10" spans="1:19">
      <c r="E10" t="str">
        <v>Gk = irradiation (W)</v>
      </c>
    </row>
    <row r="11" spans="1:19">
      <c r="E11" t="str">
        <v>Ta(Ambient Temp)</v>
      </c>
    </row>
    <row r="12" spans="1:19">
      <c r="E12" t="str">
        <v>Tm(Collector temp)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2.xml><?xml version="1.0" encoding="utf-8"?>
<worksheet xmlns="http://schemas.openxmlformats.org/spreadsheetml/2006/main" xmlns:r="http://schemas.openxmlformats.org/officeDocument/2006/relationships">
  <dimension ref="A1:IV40"/>
  <sheetViews>
    <sheetView topLeftCell="A29" workbookViewId="0">
      <selection activeCell="C8" sqref="C8:M8"/>
    </sheetView>
  </sheetViews>
  <sheetFormatPr defaultRowHeight="12.75"/>
  <cols>
    <col min="1" max="1" width="38.28341" customWidth="1"/>
    <col min="2" max="13" width="6.856731" customWidth="1"/>
    <col min="14" max="14" width="10.99934" customWidth="1"/>
    <col min="15" max="256" width="9.142308"/>
  </cols>
  <sheetData>
    <row r="1" spans="1:256">
      <c r="A1" t="str">
        <v>Monthly Spread</v>
      </c>
    </row>
    <row r="2" spans="1:256">
      <c r="A2" t="str">
        <v>Roof/Panel angle</v>
      </c>
      <c r="B2">
        <v>30</v>
      </c>
      <c r="I2" t="str">
        <v>Heating hours:</v>
      </c>
      <c r="J2">
        <v>6</v>
      </c>
    </row>
    <row r="3" spans="1:256">
      <c r="A3" t="str">
        <v>Panel size(tubes)</v>
      </c>
      <c r="B3">
        <v>40</v>
      </c>
      <c r="D3" t="str">
        <v>area:</v>
      </c>
      <c r="E3">
        <f>B3/20*2.25</f>
        <v>4.5</v>
      </c>
      <c r="I3" t="str">
        <v>Extra heating hours (work@home):</v>
      </c>
      <c r="J3">
        <v>6</v>
      </c>
    </row>
    <row r="5" spans="1:256">
      <c r="A5" t="str">
        <v>Stove output(KW)</v>
      </c>
      <c r="B5">
        <v>4</v>
      </c>
    </row>
    <row r="6" spans="1:256">
      <c r="A6" t="str">
        <v>HW output temp</v>
      </c>
      <c r="B6">
        <v>50</v>
      </c>
    </row>
    <row r="8" spans="1:256">
      <c r="A8" t="str">
        <v>(per month if not stated)</v>
      </c>
      <c r="B8" t="str">
        <v>Jan</v>
      </c>
      <c r="C8" t="str">
        <v>Feb</v>
      </c>
      <c r="D8" t="str">
        <v>Mar</v>
      </c>
      <c r="E8" t="str">
        <v>Apr</v>
      </c>
      <c r="F8" t="str">
        <v>May</v>
      </c>
      <c r="G8" t="str">
        <v>Jun</v>
      </c>
      <c r="H8" t="str">
        <v>Jul</v>
      </c>
      <c r="I8" t="str">
        <v>Aug</v>
      </c>
      <c r="J8" t="str">
        <v>Sep</v>
      </c>
      <c r="K8" t="str">
        <v>Oct</v>
      </c>
      <c r="L8" t="str">
        <v>Nov</v>
      </c>
      <c r="M8" t="str">
        <v>Dec</v>
      </c>
      <c r="N8" t="str">
        <v>tots/avgs</v>
      </c>
      <c r="O8" t="str">
        <v>gas cost</v>
      </c>
      <c r="P8" t="str">
        <v>elec cost</v>
      </c>
    </row>
    <row r="9" spans="1:256">
      <c r="A9" t="str">
        <v>Days away</v>
      </c>
      <c r="B9">
        <v>0</v>
      </c>
      <c r="C9">
        <v>14</v>
      </c>
      <c r="D9">
        <v>2</v>
      </c>
      <c r="F9">
        <v>14</v>
      </c>
      <c r="G9">
        <v>4</v>
      </c>
      <c r="H9">
        <v>14</v>
      </c>
      <c r="J9">
        <v>2</v>
      </c>
      <c r="L9">
        <v>2</v>
      </c>
      <c r="N9">
        <f>sum(B9:M9)</f>
        <v>52</v>
      </c>
    </row>
    <row r="10" spans="1:256">
      <c r="A10" t="str">
        <v>Daytime working days</v>
      </c>
      <c r="B10">
        <f>round(12-B9*3/7)</f>
        <v>12</v>
      </c>
      <c r="C10">
        <f>round(12-C9*3/7)</f>
        <v>6</v>
      </c>
      <c r="D10">
        <f>round(12-D9*3/7)</f>
        <v>11</v>
      </c>
      <c r="E10">
        <f>round(12-E9*3/7)</f>
        <v>12</v>
      </c>
      <c r="F10">
        <f>round(12-F9*3/7)</f>
        <v>6</v>
      </c>
      <c r="G10">
        <f>round(12-G9*3/7)</f>
        <v>10</v>
      </c>
      <c r="H10">
        <f>round(12-H9*3/7)</f>
        <v>6</v>
      </c>
      <c r="I10">
        <f>round(12-I9*3/7)</f>
        <v>12</v>
      </c>
      <c r="J10">
        <f>round(12-J9*3/7)</f>
        <v>11</v>
      </c>
      <c r="K10">
        <f>round(12-K9*3/7)</f>
        <v>12</v>
      </c>
      <c r="L10">
        <f>round(12-L9*3/7)</f>
        <v>11</v>
      </c>
      <c r="M10">
        <f>round(12-M9*3/7)</f>
        <v>12</v>
      </c>
      <c r="N10">
        <f>sum(B10:M10)</f>
        <v>121</v>
      </c>
    </row>
    <row r="11" spans="1:256">
      <c r="A11" t="str">
        <v>Heating hours/day</v>
      </c>
      <c r="B11">
        <f>B12/30</f>
        <v>8.48333333333333</v>
      </c>
      <c r="C11">
        <f>C12/30</f>
        <v>4.48333333333333</v>
      </c>
      <c r="D11">
        <f>D12/30</f>
        <v>7.88333333333333</v>
      </c>
      <c r="E11">
        <f>E12/30</f>
        <v>8.48333333333333</v>
      </c>
      <c r="F11">
        <f>F12/30</f>
        <v>4.48333333333333</v>
      </c>
      <c r="G11">
        <f>G12/30</f>
        <v>0</v>
      </c>
      <c r="H11">
        <f>H12/30</f>
        <v>0</v>
      </c>
      <c r="I11">
        <f>I12/30</f>
        <v>0</v>
      </c>
      <c r="J11">
        <f>J12/30</f>
        <v>7.88333333333333</v>
      </c>
      <c r="K11">
        <f>K12/30</f>
        <v>8.48333333333333</v>
      </c>
      <c r="L11">
        <f>L12/30</f>
        <v>7.88333333333333</v>
      </c>
      <c r="M11">
        <f>M12/30</f>
        <v>8.48333333333333</v>
      </c>
      <c r="N11">
        <f>average(B11:M11)</f>
        <v>5.54583333333333</v>
      </c>
    </row>
    <row r="12" spans="1:256">
      <c r="A12" t="str">
        <v>Heating hours</v>
      </c>
      <c r="B12">
        <f>$J$2*(365/12-B9)+$J$3*B10</f>
        <v>254.5</v>
      </c>
      <c r="C12">
        <f>$J$2*(365/12-C9)+$J$3*C10</f>
        <v>134.5</v>
      </c>
      <c r="D12">
        <f>$J$2*(365/12-D9)+$J$3*D10</f>
        <v>236.5</v>
      </c>
      <c r="E12">
        <f>$J$2*(365/12-E9)+$J$3*E10</f>
        <v>254.5</v>
      </c>
      <c r="F12">
        <f>$J$2*(365/12-F9)+$J$3*F10</f>
        <v>134.5</v>
      </c>
      <c r="G12">
        <v>0</v>
      </c>
      <c r="H12">
        <v>0</v>
      </c>
      <c r="I12">
        <v>0</v>
      </c>
      <c r="J12">
        <f>$J$2*(365/12-J9)+$J$3*J10</f>
        <v>236.5</v>
      </c>
      <c r="K12">
        <f>$J$2*(365/12-K9)+$J$3*K10</f>
        <v>254.5</v>
      </c>
      <c r="L12">
        <f>$J$2*(365/12-L9)+$J$3*L10</f>
        <v>236.5</v>
      </c>
      <c r="M12">
        <f>$J$2*(365/12-M9)+$J$3*M10</f>
        <v>254.5</v>
      </c>
      <c r="N12">
        <f>sum(B12:M12)</f>
        <v>1996.5</v>
      </c>
    </row>
    <row r="14" spans="1:256">
      <c r="A14" t="str">
        <v>Solar:</v>
      </c>
    </row>
    <row r="15" spans="1:256">
      <c r="A15" t="str">
        <v>Insolation (Kwh/m2/day)</v>
      </c>
      <c r="B15">
        <v>0.64</v>
      </c>
      <c r="C15">
        <v>1.17</v>
      </c>
      <c r="D15">
        <v>1.94</v>
      </c>
      <c r="E15">
        <v>3.22</v>
      </c>
      <c r="F15">
        <v>4.17</v>
      </c>
      <c r="G15">
        <v>5</v>
      </c>
      <c r="H15">
        <v>4.44</v>
      </c>
      <c r="I15">
        <v>3.61</v>
      </c>
      <c r="J15">
        <v>2.78</v>
      </c>
      <c r="K15">
        <v>1.67</v>
      </c>
      <c r="L15">
        <v>0.78</v>
      </c>
      <c r="M15">
        <v>0.47</v>
      </c>
      <c r="N15">
        <f>sum(B15:M15)</f>
        <v>29.89</v>
      </c>
    </row>
    <row r="16" spans="1:256">
      <c r="A16" t="str">
        <v>(from panelangle sheet (Kwh/m2/day)</v>
      </c>
      <c r="B16">
        <v>0.9</v>
      </c>
      <c r="C16">
        <v>2.9</v>
      </c>
      <c r="D16">
        <v>2.9</v>
      </c>
      <c r="E16">
        <v>2.9</v>
      </c>
      <c r="F16">
        <v>4.54</v>
      </c>
      <c r="G16">
        <v>4.54</v>
      </c>
      <c r="H16">
        <v>4.54</v>
      </c>
      <c r="I16">
        <v>2.9</v>
      </c>
      <c r="J16">
        <v>2.9</v>
      </c>
      <c r="K16">
        <v>2.9</v>
      </c>
      <c r="L16">
        <v>0.9</v>
      </c>
      <c r="M16">
        <v>0.9</v>
      </c>
      <c r="N16">
        <f>sum(B16:M16)</f>
        <v>33.72</v>
      </c>
    </row>
    <row r="17" spans="1:256">
      <c r="A17" t="str">
        <v>Heat to panel (Kwh/day)</v>
      </c>
      <c r="B17">
        <f>B15*$E$3</f>
        <v>2.88</v>
      </c>
      <c r="C17">
        <f>C15*$E$3</f>
        <v>5.265</v>
      </c>
      <c r="D17">
        <f>D15*$E$3</f>
        <v>8.73</v>
      </c>
      <c r="E17">
        <f>E15*$E$3</f>
        <v>14.49</v>
      </c>
      <c r="F17">
        <f>F15*$E$3</f>
        <v>18.765</v>
      </c>
      <c r="G17">
        <f>G15*$E$3</f>
        <v>22.5</v>
      </c>
      <c r="H17">
        <f>H15*$E$3</f>
        <v>19.98</v>
      </c>
      <c r="I17">
        <f>I15*$E$3</f>
        <v>16.245</v>
      </c>
      <c r="J17">
        <f>J15*$E$3</f>
        <v>12.51</v>
      </c>
      <c r="K17">
        <f>K15*$E$3</f>
        <v>7.515</v>
      </c>
      <c r="L17">
        <f>L15*$E$3</f>
        <v>3.51</v>
      </c>
      <c r="M17">
        <f>M15*$E$3</f>
        <v>2.115</v>
      </c>
    </row>
    <row r="18" spans="1:256">
      <c r="A18" t="str">
        <v>Heat to panel (Kwh)</v>
      </c>
      <c r="B18">
        <f>B16*(365/12)*$E$3</f>
        <v>123.1875</v>
      </c>
      <c r="C18">
        <f>C15*(365/12)*$E$3</f>
        <v>160.14375</v>
      </c>
      <c r="D18">
        <f>D15*(365/12)*$E$3</f>
        <v>265.5375</v>
      </c>
      <c r="E18">
        <f>E15*(365/12)*$E$3</f>
        <v>440.7375</v>
      </c>
      <c r="F18">
        <f>F15*(365/12)*$E$3</f>
        <v>570.76875</v>
      </c>
      <c r="G18">
        <f>G15*(365/12)*$E$3</f>
        <v>684.375</v>
      </c>
      <c r="H18">
        <f>H15*(365/12)*$E$3</f>
        <v>607.725</v>
      </c>
      <c r="I18">
        <f>I15*(365/12)*$E$3</f>
        <v>494.11875</v>
      </c>
      <c r="J18">
        <f>J15*(365/12)*$E$3</f>
        <v>380.5125</v>
      </c>
      <c r="K18">
        <f>K15*(365/12)*$E$3</f>
        <v>228.58125</v>
      </c>
      <c r="L18">
        <f>L15*(365/12)*$E$3</f>
        <v>106.7625</v>
      </c>
      <c r="M18">
        <f>M15*(365/12)*$E$3</f>
        <v>64.33125</v>
      </c>
      <c r="N18">
        <f>sum(B18:M18)</f>
        <v>4126.78125</v>
      </c>
      <c r="O18">
        <f>$N18*'DHW usage'!$C$27/100</f>
        <v>247.606875</v>
      </c>
      <c r="P18">
        <f>$N18*'DHW usage'!$C$28/100</f>
        <v>453.9459375</v>
      </c>
    </row>
    <row r="20" spans="1:256">
      <c r="A20" t="str">
        <v>DHW usage (l)</v>
      </c>
      <c r="B20">
        <f>'DHW usage'!$E$24/365*(365/12-B9)</f>
        <v>3809.5511</v>
      </c>
      <c r="C20">
        <f>'DHW usage'!$E$24/365*(365/12-C9)</f>
        <v>2056.11388136986</v>
      </c>
      <c r="D20">
        <f>'DHW usage'!$E$24/365*(365/12-D9)</f>
        <v>3559.06006876712</v>
      </c>
      <c r="E20">
        <f>'DHW usage'!$E$24/365*(365/12-E9)</f>
        <v>3809.5511</v>
      </c>
      <c r="F20">
        <f>'DHW usage'!$E$24/365*(365/12-F9)</f>
        <v>2056.11388136986</v>
      </c>
      <c r="G20">
        <f>'DHW usage'!$E$24/365*(365/12-G9)</f>
        <v>3308.56903753425</v>
      </c>
      <c r="H20">
        <f>'DHW usage'!$E$24/365*(365/12-H9)</f>
        <v>2056.11388136986</v>
      </c>
      <c r="I20">
        <f>'DHW usage'!$E$24/365*(365/12-I9)</f>
        <v>3809.5511</v>
      </c>
      <c r="J20">
        <f>'DHW usage'!$E$24/365*(365/12-J9)</f>
        <v>3559.06006876712</v>
      </c>
      <c r="K20">
        <f>'DHW usage'!$E$24/365*(365/12-K9)</f>
        <v>3809.5511</v>
      </c>
      <c r="L20">
        <f>'DHW usage'!$E$24/365*(365/12-L9)</f>
        <v>3559.06006876712</v>
      </c>
      <c r="M20">
        <f>'DHW usage'!$E$24/365*(365/12-M9)</f>
        <v>3809.5511</v>
      </c>
      <c r="N20">
        <f>sum(B20:M20)</f>
        <v>39201.8463879452</v>
      </c>
    </row>
    <row r="21" spans="1:256">
      <c r="A21" t="str">
        <v>Mains water incoming temp (C)</v>
      </c>
      <c r="B21">
        <v>4</v>
      </c>
      <c r="C21">
        <v>5</v>
      </c>
      <c r="D21">
        <v>7</v>
      </c>
      <c r="E21">
        <v>9</v>
      </c>
      <c r="F21">
        <v>12</v>
      </c>
      <c r="G21">
        <v>14</v>
      </c>
      <c r="H21">
        <v>15</v>
      </c>
      <c r="I21">
        <v>14</v>
      </c>
      <c r="J21">
        <v>12</v>
      </c>
      <c r="K21">
        <v>9</v>
      </c>
      <c r="L21">
        <v>7</v>
      </c>
      <c r="M21">
        <v>5</v>
      </c>
      <c r="N21">
        <f>average(B21:M21)</f>
        <v>9.41666666666667</v>
      </c>
    </row>
    <row r="22" spans="1:256">
      <c r="A22" t="str">
        <v>Water Heating requirement (Kwh)</v>
      </c>
      <c r="B22">
        <f>B20*'DHW usage'!$I$2*($B$6-B21)</f>
        <v>203.7157450725</v>
      </c>
      <c r="C22">
        <f>C20*'DHW usage'!$I$2*($B$6-C21)</f>
        <v>107.560457419161</v>
      </c>
      <c r="D22">
        <f>D20*'DHW usage'!$I$2*($B$6-D21)</f>
        <v>177.908515187497</v>
      </c>
      <c r="E22">
        <f>E20*'DHW usage'!$I$2*($B$6-E21)</f>
        <v>181.57272930375</v>
      </c>
      <c r="F22">
        <f>F20*'DHW usage'!$I$2*($B$6-F21)</f>
        <v>90.8288307095137</v>
      </c>
      <c r="G22">
        <f>G20*'DHW usage'!$I$2*($B$6-G21)</f>
        <v>138.463614220808</v>
      </c>
      <c r="H22">
        <f>H20*'DHW usage'!$I$2*($B$6-H21)</f>
        <v>83.6581335482363</v>
      </c>
      <c r="I22">
        <f>I20*'DHW usage'!$I$2*($B$6-I21)</f>
        <v>159.429713535</v>
      </c>
      <c r="J22">
        <f>J20*'DHW usage'!$I$2*($B$6-J21)</f>
        <v>157.221478537788</v>
      </c>
      <c r="K22">
        <f>K20*'DHW usage'!$I$2*($B$6-K21)</f>
        <v>181.57272930375</v>
      </c>
      <c r="L22">
        <f>L20*'DHW usage'!$I$2*($B$6-L21)</f>
        <v>177.908515187497</v>
      </c>
      <c r="M22">
        <f>M20*'DHW usage'!$I$2*($B$6-M21)</f>
        <v>199.28714191875</v>
      </c>
      <c r="N22">
        <f>sum(B22:M22)</f>
        <v>1859.12760394425</v>
      </c>
      <c r="O22">
        <f>$N22*'DHW usage'!$C$27/100</f>
        <v>111.547656236655</v>
      </c>
      <c r="P22">
        <f>$N22*'DHW usage'!$C$28/100</f>
        <v>204.504036433868</v>
      </c>
    </row>
    <row r="24" spans="1:256">
      <c r="A24" t="str">
        <v>Avg outside temp (Cam, 2006. C)</v>
      </c>
      <c r="B24">
        <v>4</v>
      </c>
      <c r="C24">
        <v>3.8</v>
      </c>
      <c r="D24">
        <v>4.7</v>
      </c>
      <c r="E24">
        <v>9.1</v>
      </c>
      <c r="F24">
        <v>13.1</v>
      </c>
      <c r="G24">
        <v>17.9</v>
      </c>
      <c r="H24">
        <v>21.6</v>
      </c>
      <c r="I24">
        <v>17.1</v>
      </c>
      <c r="J24">
        <v>18</v>
      </c>
      <c r="K24">
        <v>13.7</v>
      </c>
      <c r="L24">
        <v>8</v>
      </c>
      <c r="M24">
        <v>6.3</v>
      </c>
      <c r="N24">
        <f>average(B24:M24)</f>
        <v>11.4416666666667</v>
      </c>
    </row>
    <row r="25" spans="1:256">
      <c r="A25" t="str">
        <v>Space Heating avg power(whole house) (Kw)</v>
      </c>
      <c r="B25">
        <v>3.9</v>
      </c>
      <c r="C25">
        <v>4</v>
      </c>
      <c r="D25">
        <v>3.7</v>
      </c>
      <c r="E25">
        <v>2.8</v>
      </c>
      <c r="F25">
        <v>2</v>
      </c>
      <c r="G25">
        <v>1</v>
      </c>
      <c r="H25">
        <v>0.3</v>
      </c>
      <c r="I25">
        <v>1.1</v>
      </c>
      <c r="J25">
        <v>0.9</v>
      </c>
      <c r="K25">
        <v>1.8</v>
      </c>
      <c r="L25">
        <v>3</v>
      </c>
      <c r="M25">
        <v>3.3</v>
      </c>
      <c r="N25">
        <f>average(B25:M25)</f>
        <v>2.31666666666667</v>
      </c>
    </row>
    <row r="26" spans="1:256">
      <c r="A26" t="s">
        <v>12</v>
      </c>
      <c r="B26">
        <f>B12*B25</f>
        <v>992.55</v>
      </c>
      <c r="C26">
        <f>C12*C25</f>
        <v>538</v>
      </c>
      <c r="D26">
        <f>D12*D25</f>
        <v>875.05</v>
      </c>
      <c r="E26">
        <f>E12*E25</f>
        <v>712.6</v>
      </c>
      <c r="F26">
        <f>F12*F25</f>
        <v>269</v>
      </c>
      <c r="G26">
        <f>G12*G25</f>
        <v>0</v>
      </c>
      <c r="H26">
        <f>H12*H25</f>
        <v>0</v>
      </c>
      <c r="I26">
        <f>I12*I25</f>
        <v>0</v>
      </c>
      <c r="J26">
        <f>J12*J25</f>
        <v>212.85</v>
      </c>
      <c r="K26">
        <f>K12*K25</f>
        <v>458.1</v>
      </c>
      <c r="L26">
        <f>L12*L25</f>
        <v>709.5</v>
      </c>
      <c r="M26">
        <f>M12*M25</f>
        <v>839.85</v>
      </c>
      <c r="N26">
        <f>sum(B26:M26)</f>
        <v>5607.5</v>
      </c>
      <c r="O26">
        <f>$N26*'DHW usage'!$C$27/100</f>
        <v>336.45</v>
      </c>
      <c r="P26">
        <f>$N26*'DHW usage'!$C$28/100</f>
        <v>616.825</v>
      </c>
    </row>
    <row r="27" spans="1:256">
      <c r="A27" t="str">
        <v>Space Heating avg power (lounge)(Kw)</v>
      </c>
      <c r="B27">
        <v>2.3</v>
      </c>
      <c r="C27">
        <v>2.3</v>
      </c>
      <c r="D27">
        <v>2.3</v>
      </c>
      <c r="E27">
        <v>1.9</v>
      </c>
      <c r="F27">
        <v>1.2</v>
      </c>
      <c r="G27">
        <v>0.3</v>
      </c>
      <c r="H27">
        <v>0</v>
      </c>
      <c r="I27">
        <v>0.4</v>
      </c>
      <c r="J27">
        <v>0.3</v>
      </c>
      <c r="K27">
        <v>1.1</v>
      </c>
      <c r="L27">
        <v>2</v>
      </c>
      <c r="M27">
        <v>2.1</v>
      </c>
    </row>
    <row r="28" spans="1:256">
      <c r="A28" t="s">
        <v>12</v>
      </c>
      <c r="B28">
        <f>B12*B27</f>
        <v>585.35</v>
      </c>
      <c r="C28">
        <f>C12*C27</f>
        <v>309.35</v>
      </c>
      <c r="D28">
        <f>D12*D27</f>
        <v>543.95</v>
      </c>
      <c r="E28">
        <f>E12*E27</f>
        <v>483.55</v>
      </c>
      <c r="F28">
        <f>F12*F27</f>
        <v>161.4</v>
      </c>
      <c r="G28">
        <f>G12*G27</f>
        <v>0</v>
      </c>
      <c r="H28">
        <f>H12*H27</f>
        <v>0</v>
      </c>
      <c r="I28">
        <f>I12*I27</f>
        <v>0</v>
      </c>
      <c r="J28">
        <f>J12*J27</f>
        <v>70.95</v>
      </c>
      <c r="K28">
        <f>K12*K27</f>
        <v>279.95</v>
      </c>
      <c r="L28">
        <f>L12*L27</f>
        <v>473</v>
      </c>
      <c r="M28">
        <f>M12*M27</f>
        <v>534.45</v>
      </c>
      <c r="N28">
        <f>sum(B28:M28)</f>
        <v>3441.95</v>
      </c>
      <c r="O28">
        <f>$N28*'DHW usage'!$C$27/100</f>
        <v>206.517</v>
      </c>
      <c r="P28">
        <f>$N28*'DHW usage'!$C$28/100</f>
        <v>378.6145</v>
      </c>
    </row>
    <row r="30" spans="1:256">
      <c r="A30" t="str">
        <v>Stove hours (per day)</v>
      </c>
      <c r="B30">
        <f>min(6,B11)</f>
        <v>6</v>
      </c>
      <c r="C30">
        <f>min(6,C11)</f>
        <v>4.48333333333333</v>
      </c>
      <c r="D30">
        <f>min(6,D11)</f>
        <v>6</v>
      </c>
      <c r="E30">
        <f>min(6,E11)</f>
        <v>6</v>
      </c>
      <c r="F30">
        <f>min(6,F11)</f>
        <v>4.48333333333333</v>
      </c>
      <c r="G30">
        <f>min(6,G11)</f>
        <v>0</v>
      </c>
      <c r="H30">
        <f>min(6,H11)</f>
        <v>0</v>
      </c>
      <c r="I30">
        <f>min(6,I11)</f>
        <v>0</v>
      </c>
      <c r="J30">
        <f>min(6,J11)</f>
        <v>6</v>
      </c>
      <c r="K30">
        <f>min(6,K11)</f>
        <v>6</v>
      </c>
      <c r="L30">
        <f>min(6,L11)</f>
        <v>6</v>
      </c>
      <c r="M30">
        <f>min(6,M11)</f>
        <v>6</v>
      </c>
    </row>
    <row r="31" spans="1:256">
      <c r="A31" t="str">
        <v>Solar provided (Kwh)</v>
      </c>
      <c r="B31">
        <f>B18*0.8</f>
        <v>98.55</v>
      </c>
      <c r="C31">
        <f>C18*0.8</f>
        <v>128.115</v>
      </c>
      <c r="D31">
        <f>D18*0.8</f>
        <v>212.43</v>
      </c>
      <c r="E31">
        <f>E18*0.8</f>
        <v>352.59</v>
      </c>
      <c r="F31">
        <f>F18*0.8</f>
        <v>456.615</v>
      </c>
      <c r="G31">
        <f>G18*0.8</f>
        <v>547.5</v>
      </c>
      <c r="H31">
        <f>H18*0.8</f>
        <v>486.18</v>
      </c>
      <c r="I31">
        <f>I18*0.8</f>
        <v>395.295</v>
      </c>
      <c r="J31">
        <f>J18*0.8</f>
        <v>304.41</v>
      </c>
      <c r="K31">
        <f>K18*0.8</f>
        <v>182.865</v>
      </c>
      <c r="L31">
        <f>L18*0.8</f>
        <v>85.41</v>
      </c>
      <c r="M31">
        <f>M18*0.8</f>
        <v>51.465</v>
      </c>
      <c r="N31">
        <f>sum(B31:M31)</f>
        <v>3301.425</v>
      </c>
      <c r="O31">
        <f>$N31*'DHW usage'!$C$27/100</f>
        <v>198.0855</v>
      </c>
      <c r="P31">
        <f>$N31*'DHW usage'!$C$28/100</f>
        <v>363.15675</v>
      </c>
    </row>
    <row r="32" spans="1:256">
      <c r="A32" t="str">
        <v>Solar useable (Kwh)</v>
      </c>
      <c r="B32">
        <f>min(B31,B26+B22)</f>
        <v>98.55</v>
      </c>
      <c r="C32">
        <f>min(C31,C26+C22)</f>
        <v>128.115</v>
      </c>
      <c r="D32">
        <f>min(D31,D26+D22)</f>
        <v>212.43</v>
      </c>
      <c r="E32">
        <f>min(E31,E26+E22)</f>
        <v>352.59</v>
      </c>
      <c r="F32">
        <f>min(F31,F26+F22)</f>
        <v>359.828830709514</v>
      </c>
      <c r="G32">
        <f>min(G31,G26+G22)</f>
        <v>138.463614220808</v>
      </c>
      <c r="H32">
        <f>min(H31,H26+H22)</f>
        <v>83.6581335482363</v>
      </c>
      <c r="I32">
        <f>min(I31,I26+I22)</f>
        <v>159.429713535</v>
      </c>
      <c r="J32">
        <f>min(J31,J26+J22)</f>
        <v>304.41</v>
      </c>
      <c r="K32">
        <f>min(K31,K26+K22)</f>
        <v>182.865</v>
      </c>
      <c r="L32">
        <f>min(L31,L26+L22)</f>
        <v>85.41</v>
      </c>
      <c r="M32">
        <f>min(M31,M26+M22)</f>
        <v>51.465</v>
      </c>
      <c r="N32">
        <f>sum(B32:M32)</f>
        <v>2157.21529201356</v>
      </c>
      <c r="O32">
        <f>$N32*'DHW usage'!$C$27/100</f>
        <v>129.432917520814</v>
      </c>
      <c r="P32">
        <f>$N32*'DHW usage'!$C$28/100</f>
        <v>237.293682121491</v>
      </c>
    </row>
    <row r="33" spans="1:256">
      <c r="A33" t="str">
        <v>Solar fraction for DHW</v>
      </c>
      <c r="B33">
        <f>B31/B22</f>
        <v>0.483762312848853</v>
      </c>
      <c r="C33">
        <f>C31/C22</f>
        <v>1.19109757501996</v>
      </c>
      <c r="D33">
        <f>D31/D22</f>
        <v>1.19404065497439</v>
      </c>
      <c r="E33">
        <f>E31/E22</f>
        <v>1.94186649808055</v>
      </c>
      <c r="F33">
        <f>F31/F22</f>
        <v>5.02720332776642</v>
      </c>
      <c r="G33">
        <f>G31/G22</f>
        <v>3.9541073882912</v>
      </c>
      <c r="H33">
        <f>H31/H22</f>
        <v>5.81150904735012</v>
      </c>
      <c r="I33">
        <f>I31/I22</f>
        <v>2.47943116270619</v>
      </c>
      <c r="J33">
        <f>J31/J22</f>
        <v>1.93618583689147</v>
      </c>
      <c r="K33">
        <f>K31/K22</f>
        <v>1.00711709683059</v>
      </c>
      <c r="L33">
        <f>L31/L22</f>
        <v>0.480078201484549</v>
      </c>
      <c r="M33">
        <f>M31/M22</f>
        <v>0.25824546182203</v>
      </c>
    </row>
    <row r="34" spans="1:256">
      <c r="A34" t="str">
        <v>Solar space heating (Kwh)</v>
      </c>
      <c r="B34">
        <f>if(B$31-B$22&gt;0,B$31-B$22,0)</f>
        <v>0</v>
      </c>
      <c r="C34">
        <f>if(C$31-C$22&gt;0,C$31-C$22,0)</f>
        <v>20.554542580839</v>
      </c>
      <c r="D34">
        <f>if(D$31-D$22&gt;0,D$31-D$22,0)</f>
        <v>34.5214848125034</v>
      </c>
      <c r="E34">
        <f>if(E$31-E$22&gt;0,E$31-E$22,0)</f>
        <v>171.01727069625</v>
      </c>
      <c r="F34">
        <f>if(F$31-F$22&gt;0,F$31-F$22,0)</f>
        <v>365.786169290486</v>
      </c>
      <c r="G34">
        <f>if(G$31-G$22&gt;0,G$31-G$22,0)</f>
        <v>409.036385779192</v>
      </c>
      <c r="H34">
        <f>if(H$31-H$22&gt;0,H$31-H$22,0)</f>
        <v>402.521866451764</v>
      </c>
      <c r="I34">
        <f>if(I$31-I$22&gt;0,I$31-I$22,0)</f>
        <v>235.865286465</v>
      </c>
      <c r="J34">
        <f>if(J$31-J$22&gt;0,J$31-J$22,0)</f>
        <v>147.188521462212</v>
      </c>
      <c r="K34">
        <f>if(K$31-K$22&gt;0,K$31-K$22,0)</f>
        <v>1.29227069624997</v>
      </c>
      <c r="L34">
        <f>if(L$31-L$22&gt;0,L$31-L$22,0)</f>
        <v>0</v>
      </c>
      <c r="M34">
        <f>if(M$31-M$22&gt;0,M$31-M$22,0)</f>
        <v>0</v>
      </c>
      <c r="N34">
        <f>sum(B34:M34)</f>
        <v>1787.7837982345</v>
      </c>
      <c r="O34">
        <f>$N34*'DHW usage'!$C$27/100</f>
        <v>107.26702789407</v>
      </c>
      <c r="P34">
        <f>$N34*'DHW usage'!$C$28/100</f>
        <v>196.656217805795</v>
      </c>
    </row>
    <row r="35" spans="1:256">
      <c r="A35" t="str">
        <v>Solar space heating useable (Kwh)</v>
      </c>
      <c r="B35">
        <f>if(B$31-B$22&gt;0,min(B$31-B$22,B$28),0)</f>
        <v>0</v>
      </c>
      <c r="C35">
        <f>if(C$31-C$22&gt;0,min(C$31-C$22,C$28),0)</f>
        <v>20.554542580839</v>
      </c>
      <c r="D35">
        <f>if(D$31-D$22&gt;0,min(D$31-D$22,D$28),0)</f>
        <v>34.5214848125034</v>
      </c>
      <c r="E35">
        <f>if(E$31-E$22&gt;0,min(E$31-E$22,E$28),0)</f>
        <v>171.01727069625</v>
      </c>
      <c r="F35">
        <f>if(F$31-F$22&gt;0,min(F$31-F$22,F$28),0)</f>
        <v>161.4</v>
      </c>
      <c r="G35">
        <f>if(G$31-G$22&gt;0,min(G$31-G$22,G$28),0)</f>
        <v>0</v>
      </c>
      <c r="H35">
        <f>if(H$31-H$22&gt;0,min(H$31-H$22,H$28),0)</f>
        <v>0</v>
      </c>
      <c r="I35">
        <f>if(I$31-I$22&gt;0,min(I$31-I$22,I$28),0)</f>
        <v>0</v>
      </c>
      <c r="J35">
        <f>if(J$31-J$22&gt;0,min(J$31-J$22,J$28),0)</f>
        <v>70.95</v>
      </c>
      <c r="K35">
        <f>if(K$31-K$22&gt;0,min(K$31-K$22,K$28),0)</f>
        <v>1.29227069624997</v>
      </c>
      <c r="L35">
        <f>if(L$31-L$22&gt;0,min(L$31-L$22,L$28),0)</f>
        <v>0</v>
      </c>
      <c r="M35">
        <f>if(M$31-M$22&gt;0,min(M$31-M$22,M$28),0)</f>
        <v>0</v>
      </c>
      <c r="N35">
        <f>sum(B35:M35)</f>
        <v>459.735568785842</v>
      </c>
      <c r="O35">
        <f>$N35*'DHW usage'!$C$27/100</f>
        <v>27.5841341271505</v>
      </c>
      <c r="P35">
        <f>$N35*'DHW usage'!$C$28/100</f>
        <v>50.5709125664427</v>
      </c>
    </row>
    <row r="36" spans="1:256">
      <c r="A36" t="str">
        <v>Stove provided (Kwh)</v>
      </c>
      <c r="B36">
        <f>B30*$B$5*(365/12-B9)</f>
        <v>730</v>
      </c>
      <c r="C36">
        <f>C30*$B$5*(365/12-C9)</f>
        <v>294.405555555556</v>
      </c>
      <c r="D36">
        <f>D30*$B$5*(365/12-D9)</f>
        <v>682</v>
      </c>
      <c r="E36">
        <f>E30*$B$5*(365/12-E9)</f>
        <v>730</v>
      </c>
      <c r="F36">
        <f>F30*$B$5*(365/12-F9)</f>
        <v>294.405555555556</v>
      </c>
      <c r="G36">
        <f>G30*$B$5*(365/12-G9)</f>
        <v>0</v>
      </c>
      <c r="H36">
        <f>H30*$B$5*(365/12-H9)</f>
        <v>0</v>
      </c>
      <c r="I36">
        <f>I30*$B$5*(365/12-I9)</f>
        <v>0</v>
      </c>
      <c r="J36">
        <f>J30*$B$5*(365/12-J9)</f>
        <v>682</v>
      </c>
      <c r="K36">
        <f>K30*$B$5*(365/12-K9)</f>
        <v>730</v>
      </c>
      <c r="L36">
        <f>L30*$B$5*(365/12-L9)</f>
        <v>682</v>
      </c>
      <c r="M36">
        <f>M30*$B$5*(365/12-M9)</f>
        <v>730</v>
      </c>
      <c r="N36">
        <f>sum(B36:M36)</f>
        <v>5554.81111111111</v>
      </c>
      <c r="O36">
        <f>$N36*'DHW usage'!$C$27/100</f>
        <v>333.288666666667</v>
      </c>
      <c r="P36">
        <f>$N36*'DHW usage'!$C$28/100</f>
        <v>611.029222222222</v>
      </c>
    </row>
    <row r="37" spans="1:256">
      <c r="A37" t="str">
        <v>Stove fraction for heating</v>
      </c>
      <c r="B37">
        <f>if(B26&gt;0,B36/B26,"")</f>
        <v>0.735479320941011</v>
      </c>
      <c r="C37">
        <f>if(C26&gt;0,C36/C26,"")</f>
        <v>0.547222222222222</v>
      </c>
      <c r="D37">
        <f>if(D26&gt;0,D36/D26,"")</f>
        <v>0.779384035197989</v>
      </c>
      <c r="E37">
        <f>if(E26&gt;0,E36/E26,"")</f>
        <v>1.02441762559641</v>
      </c>
      <c r="F37">
        <f>if(F26&gt;0,F36/F26,"")</f>
        <v>1.09444444444444</v>
      </c>
      <c r="G37" t="s">
        <f>if(G26&gt;0,G36/G26,"")</f>
        <v>13</v>
      </c>
      <c r="H37" t="s">
        <f>if(H26&gt;0,H36/H26,"")</f>
        <v>13</v>
      </c>
      <c r="I37" t="s">
        <f>if(I26&gt;0,I36/I26,"")</f>
        <v>13</v>
      </c>
      <c r="J37">
        <f>if(J26&gt;0,J36/J26,"")</f>
        <v>3.20413436692506</v>
      </c>
      <c r="K37">
        <f>if(K26&gt;0,K36/K26,"")</f>
        <v>1.59353852870552</v>
      </c>
      <c r="L37">
        <f>if(L26&gt;0,L36/L26,"")</f>
        <v>0.961240310077519</v>
      </c>
      <c r="M37">
        <f>if(M26&gt;0,M36/M26,"")</f>
        <v>0.869202833839376</v>
      </c>
    </row>
    <row r="38" spans="1:256">
      <c r="A38" t="str">
        <v>Boiler Provided (Kwh)</v>
      </c>
      <c r="B38">
        <f>if(B26+B22-B31-B36&gt;0,B26+B22-B31-B36,0)</f>
        <v>367.7157450725</v>
      </c>
      <c r="C38">
        <f>if(C26+C22-C31-C36&gt;0,C26+C22-C31-C36,0)</f>
        <v>223.039901863605</v>
      </c>
      <c r="D38">
        <f>if(D26+D22-D31-D36&gt;0,D26+D22-D31-D36,0)</f>
        <v>158.528515187497</v>
      </c>
      <c r="E38">
        <f>if(E26+E22-E31-E36&gt;0,E26+E22-E31-E36,0)</f>
        <v>0</v>
      </c>
      <c r="F38">
        <f>if(F26+F22-F31-F36&gt;0,F26+F22-F31-F36,0)</f>
        <v>0</v>
      </c>
      <c r="G38">
        <f>if(G26+G22-G31-G36&gt;0,G26+G22-G31-G36,0)</f>
        <v>0</v>
      </c>
      <c r="H38">
        <f>if(H26+H22-H31-H36&gt;0,H26+H22-H31-H36,0)</f>
        <v>0</v>
      </c>
      <c r="I38">
        <f>if(I26+I22-I31-I36&gt;0,I26+I22-I31-I36,0)</f>
        <v>0</v>
      </c>
      <c r="J38">
        <f>if(J26+J22-J31-J36&gt;0,J26+J22-J31-J36,0)</f>
        <v>0</v>
      </c>
      <c r="K38">
        <f>if(K26+K22-K31-K36&gt;0,K26+K22-K31-K36,0)</f>
        <v>0</v>
      </c>
      <c r="L38">
        <f>if(L26+L22-L31-L36&gt;0,L26+L22-L31-L36,0)</f>
        <v>119.998515187497</v>
      </c>
      <c r="M38">
        <f>if(M26+M22-M31-M36&gt;0,M26+M22-M31-M36,0)</f>
        <v>257.67214191875</v>
      </c>
      <c r="N38">
        <f>sum(B38:M38)</f>
        <v>1126.95481922985</v>
      </c>
      <c r="O38">
        <f>$N38*'DHW usage'!$C$27/100</f>
        <v>67.6172891537909</v>
      </c>
      <c r="P38">
        <f>$N38*'DHW usage'!$C$28/100</f>
        <v>123.965030115283</v>
      </c>
    </row>
    <row r="39" spans="1:256">
      <c r="A39" t="str">
        <v>Solar fraction for heating</v>
      </c>
      <c r="B39">
        <f>if(B26&gt;0,B34/B26,"")</f>
        <v>0</v>
      </c>
      <c r="C39">
        <f>if(C26&gt;0,C34/C26,"")</f>
        <v>0.0382054694811134</v>
      </c>
      <c r="D39">
        <f>if(D26&gt;0,D34/D26,"")</f>
        <v>0.0394508711645088</v>
      </c>
      <c r="E39">
        <f>if(E26&gt;0,E34/E26,"")</f>
        <v>0.239990556688535</v>
      </c>
      <c r="F39">
        <f>if(F26&gt;0,F34/F26,"")</f>
        <v>1.35979988583824</v>
      </c>
      <c r="G39" t="s">
        <f>if(G26&gt;0,G34/G26,"")</f>
        <v>13</v>
      </c>
      <c r="H39" t="s">
        <f>if(H26&gt;0,H34/H26,"")</f>
        <v>13</v>
      </c>
      <c r="I39" t="s">
        <f>if(I26&gt;0,I34/I26,"")</f>
        <v>13</v>
      </c>
      <c r="J39">
        <f>if(J26&gt;0,J34/J26,"")</f>
        <v>0.691512903275604</v>
      </c>
      <c r="K39">
        <f>if(K26&gt;0,K34/K26,"")</f>
        <v>0.00282093581368691</v>
      </c>
      <c r="L39">
        <f>if(L26&gt;0,L34/L26,"")</f>
        <v>0</v>
      </c>
      <c r="M39">
        <f>if(M26&gt;0,M34/M26,"")</f>
        <v>0</v>
      </c>
      <c r="N39">
        <f>average(B39:M39)</f>
        <v>0.263531180251299</v>
      </c>
    </row>
    <row r="40" spans="1:256">
      <c r="A40" t="str">
        <v>Heat to dump (Kwh)</v>
      </c>
      <c r="B40">
        <f>if(B31-B22-C34&gt;0,B31-B22-C34,0)</f>
        <v>0</v>
      </c>
      <c r="C40">
        <f>if(C31-C22-D34&gt;0,C31-C22-D34,0)</f>
        <v>0</v>
      </c>
      <c r="D40">
        <f>if(D31-D22-E34&gt;0,D31-D22-E34,0)</f>
        <v>0</v>
      </c>
      <c r="E40">
        <f>if(E31-E22-F34&gt;0,E31-E22-F34,0)</f>
        <v>0</v>
      </c>
      <c r="F40">
        <f>if(F31-F22-G34&gt;0,F31-F22-G34,0)</f>
        <v>0</v>
      </c>
      <c r="G40">
        <f>if(G31-G22-H34&gt;0,G31-G22-H34,0)</f>
        <v>6.51451932742799</v>
      </c>
      <c r="H40">
        <f>if(H31-H22-I34&gt;0,H31-H22-I34,0)</f>
        <v>166.656579986764</v>
      </c>
      <c r="I40">
        <f>if(I31-I22-J34&gt;0,I31-I22-J34,0)</f>
        <v>88.6767650027877</v>
      </c>
      <c r="J40">
        <f>if(J31-J22-K34&gt;0,J31-J22-K34,0)</f>
        <v>145.896250765962</v>
      </c>
      <c r="K40">
        <f>if(K31-K22-L34&gt;0,K31-K22-L34,0)</f>
        <v>1.29227069624997</v>
      </c>
      <c r="L40">
        <f>if(L31-L22-M34&gt;0,L31-L22-M34,0)</f>
        <v>0</v>
      </c>
      <c r="M40">
        <f>if(M31-M22-N34&gt;0,M31-M22-N34,0)</f>
        <v>0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" bottom="1" header="0.5906" footer="0.3937"/>
  <pageSetup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0"/>
  <sheetViews>
    <sheetView topLeftCell="F22" workbookViewId="0">
      <selection activeCell="E153" sqref="E153"/>
    </sheetView>
  </sheetViews>
  <sheetFormatPr defaultRowHeight="12.75"/>
  <cols>
    <col min="1" max="1" width="15.14195" customWidth="1"/>
    <col min="2" max="2" width="9.142308"/>
    <col min="3" max="4" width="10.99934" customWidth="1"/>
    <col min="5" max="5" width="11.71358" customWidth="1"/>
    <col min="6" max="6" width="12.71352" customWidth="1"/>
    <col min="7" max="7" width="11.99928" customWidth="1"/>
    <col min="8" max="10" width="9.142308"/>
    <col min="11" max="11" width="11.28504" customWidth="1"/>
    <col min="12" max="12" width="9.142308"/>
    <col min="13" max="13" width="10.85649" customWidth="1"/>
    <col min="14" max="15" width="9.142308"/>
  </cols>
  <sheetData>
    <row r="1" spans="1:15">
      <c r="I1" t="str">
        <v>u-values (W/m2.K)</v>
      </c>
    </row>
    <row r="2" spans="1:15">
      <c r="J2" t="str">
        <v>now</v>
      </c>
      <c r="K2" t="str">
        <v>pre-insul</v>
      </c>
      <c r="L2" t="str">
        <v>window factor</v>
      </c>
      <c r="N2">
        <v>0.17</v>
      </c>
    </row>
    <row r="3" spans="1:15">
      <c r="A3" t="str">
        <v>Whole house approximation</v>
      </c>
      <c r="I3" t="s">
        <v>14</v>
      </c>
      <c r="J3">
        <f>F26</f>
        <v>0.453601566987231</v>
      </c>
      <c r="K3">
        <v>1.6</v>
      </c>
      <c r="L3" t="str">
        <v>avg air changes</v>
      </c>
      <c r="N3">
        <v>1.2</v>
      </c>
    </row>
    <row r="4" spans="1:15">
      <c r="I4" t="str">
        <v>window</v>
      </c>
      <c r="J4">
        <v>1.7</v>
      </c>
      <c r="K4">
        <v>1.7</v>
      </c>
      <c r="L4" t="str">
        <v>specific heat of air</v>
      </c>
      <c r="N4">
        <v>0.33</v>
      </c>
    </row>
    <row r="5" spans="1:15">
      <c r="I5" t="s">
        <v>15</v>
      </c>
      <c r="J5">
        <v>4</v>
      </c>
      <c r="K5">
        <v>4</v>
      </c>
    </row>
    <row r="6" spans="1:15">
      <c r="I6" t="str">
        <v>roof</v>
      </c>
      <c r="J6">
        <v>0.16</v>
      </c>
      <c r="K6">
        <v>0.5</v>
      </c>
    </row>
    <row r="7" spans="1:15">
      <c r="A7" t="str">
        <v>Size</v>
      </c>
      <c r="I7" t="s">
        <v>16</v>
      </c>
      <c r="J7">
        <v>1.2</v>
      </c>
      <c r="K7">
        <v>1.2</v>
      </c>
    </row>
    <row r="8" spans="1:15">
      <c r="B8" t="str">
        <v>Internal</v>
      </c>
      <c r="C8" t="str">
        <v>External</v>
      </c>
      <c r="D8" t="str">
        <v>windows</v>
      </c>
      <c r="E8" t="str">
        <v>across</v>
      </c>
      <c r="F8" t="str">
        <v>up</v>
      </c>
      <c r="I8" t="str">
        <v>int wall</v>
      </c>
      <c r="J8">
        <v>1.9</v>
      </c>
    </row>
    <row r="9" spans="1:15">
      <c r="A9" t="s">
        <v>1</v>
      </c>
      <c r="B9">
        <v>8.22</v>
      </c>
      <c r="C9">
        <v>8.83</v>
      </c>
      <c r="D9" t="str">
        <v>north down</v>
      </c>
      <c r="I9" t="str">
        <v>int door</v>
      </c>
      <c r="J9">
        <v>4</v>
      </c>
    </row>
    <row r="10" spans="1:15">
      <c r="A10" t="s">
        <v>2</v>
      </c>
      <c r="B10">
        <v>6.64</v>
      </c>
      <c r="C10">
        <v>7.26</v>
      </c>
      <c r="D10" t="str">
        <v>south down</v>
      </c>
      <c r="I10" t="str">
        <v>bay roof</v>
      </c>
      <c r="J10">
        <v>4</v>
      </c>
    </row>
    <row r="11" spans="1:15">
      <c r="A11" t="str">
        <v>height(m)</v>
      </c>
      <c r="B11">
        <v>2.4</v>
      </c>
      <c r="C11">
        <v>5</v>
      </c>
      <c r="D11" t="str">
        <v>north up</v>
      </c>
      <c r="I11" t="str">
        <v>1st floor</v>
      </c>
      <c r="J11">
        <v>2</v>
      </c>
    </row>
    <row r="12" spans="1:15">
      <c r="A12" t="str">
        <v>floors</v>
      </c>
      <c r="B12">
        <v>2</v>
      </c>
      <c r="D12" t="str">
        <v>south up</v>
      </c>
    </row>
    <row r="14" spans="1:15">
      <c r="B14" t="str">
        <v>Area(m2)</v>
      </c>
      <c r="C14" t="s">
        <v>17</v>
      </c>
      <c r="D14" t="str">
        <v>Heat loss(W/m2)</v>
      </c>
      <c r="E14" t="str">
        <v>(pre-insul)</v>
      </c>
    </row>
    <row r="15" spans="1:15" ht="13.5" customHeight="1">
      <c r="A15" t="str">
        <v>Wall</v>
      </c>
      <c r="B15">
        <f>(B9*2+B10*2)*B11*B12</f>
        <v>142.656</v>
      </c>
      <c r="C15">
        <f>$L$59-$C$55</f>
        <v>19</v>
      </c>
      <c r="D15">
        <f>($B15-$B16)*J3*$C15</f>
        <v>1020.46069565986</v>
      </c>
      <c r="E15">
        <f>($B15-$B16)*K3*$C15</f>
        <v>3599.496192</v>
      </c>
    </row>
    <row r="16" spans="1:15">
      <c r="A16" t="s">
        <v>18</v>
      </c>
      <c r="B16">
        <f>B15*N2</f>
        <v>24.25152</v>
      </c>
      <c r="C16">
        <f>$L$59-$C$55</f>
        <v>19</v>
      </c>
      <c r="D16">
        <f>$B16*J4*$C16</f>
        <v>783.324096</v>
      </c>
      <c r="E16">
        <f>$B16*K4*$C16</f>
        <v>783.324096</v>
      </c>
      <c r="K16"/>
    </row>
    <row r="17" spans="1:15">
      <c r="A17" t="str">
        <v>Floor </v>
      </c>
      <c r="B17">
        <f>B9*B10</f>
        <v>54.5808</v>
      </c>
      <c r="C17">
        <f>$L$59-$C$54</f>
        <v>7</v>
      </c>
      <c r="D17">
        <f>$B17*J7*$C17</f>
        <v>458.47872</v>
      </c>
      <c r="E17">
        <f>$B17*K7*$C17</f>
        <v>458.47872</v>
      </c>
    </row>
    <row r="18" spans="1:15">
      <c r="A18" t="str">
        <v>Roof</v>
      </c>
      <c r="B18">
        <f>B9*B10</f>
        <v>54.5808</v>
      </c>
      <c r="C18">
        <f>$L$59-$C$55</f>
        <v>19</v>
      </c>
      <c r="D18">
        <f>$B18*J6*$C18</f>
        <v>165.925632</v>
      </c>
      <c r="E18">
        <f>$B18*K6*$C18</f>
        <v>518.5176</v>
      </c>
    </row>
    <row r="19" spans="1:15">
      <c r="A19" t="str">
        <v>total(W/K)</v>
      </c>
      <c r="D19">
        <f>sum(D15:D18)</f>
        <v>2428.18914365986</v>
      </c>
      <c r="E19">
        <f>sum(E15:E18)</f>
        <v>5359.816608</v>
      </c>
    </row>
    <row r="20" spans="1:15">
      <c r="B20" t="str">
        <v>vol (m3)</v>
      </c>
    </row>
    <row r="21" spans="1:15">
      <c r="A21" t="str">
        <v>Ventialtion</v>
      </c>
      <c r="B21">
        <f>B9*B10*B11*B12</f>
        <v>261.98784</v>
      </c>
      <c r="C21">
        <f>$L$59-$C$55</f>
        <v>19</v>
      </c>
      <c r="D21">
        <f>B21*$N$4*C21*M66*N3</f>
        <v>3942.39301632</v>
      </c>
      <c r="E21">
        <f>D21</f>
        <v>3942.39301632</v>
      </c>
      <c r="G21" t="str">
        <v>range(Kwh)</v>
      </c>
      <c r="H21">
        <f>B21*20</f>
        <v>5239.7568</v>
      </c>
      <c r="I21">
        <f>B21*50</f>
        <v>13099.392</v>
      </c>
    </row>
    <row r="22" spans="1:15">
      <c r="E22">
        <f>E21+E19</f>
        <v>9302.20962432</v>
      </c>
    </row>
    <row r="23" spans="1:15">
      <c r="D23">
        <f>D21+D19</f>
        <v>6370.58215997986</v>
      </c>
      <c r="E23" t="s">
        <v>19</v>
      </c>
      <c r="F23">
        <f>D23/1000</f>
        <v>6.37058215997986</v>
      </c>
      <c r="G23" t="s">
        <v>20</v>
      </c>
      <c r="J23" t="str">
        <v>imperia:metric conversion:</v>
      </c>
      <c r="K23">
        <v>0.14422</v>
      </c>
      <c r="L23" t="str">
        <v>(btu.in/hf.F.ft2 -&gt; W/mK)</v>
      </c>
    </row>
    <row r="24" spans="1:15" ht="30" customHeight="1">
      <c r="J24" t="str">
        <v>material</v>
      </c>
      <c r="K24" t="str">
        <v>k(btu.in/ hr.F.ft2)</v>
      </c>
      <c r="L24" t="s">
        <v>21</v>
      </c>
      <c r="M24" t="str">
        <v>R(1/k) (imperial)</v>
      </c>
      <c r="N24" t="str">
        <v>R(1/k) (mK/W)</v>
      </c>
    </row>
    <row r="25" spans="1:15">
      <c r="E25" t="str">
        <v>was:</v>
      </c>
      <c r="F25">
        <f>E35</f>
        <v>1.31652062406497</v>
      </c>
      <c r="J25" t="str">
        <v>polystyrene (cut edge)</v>
      </c>
      <c r="K25">
        <v>0.25</v>
      </c>
      <c r="L25">
        <v>0.038</v>
      </c>
      <c r="M25">
        <f>1/K25</f>
        <v>4</v>
      </c>
      <c r="N25">
        <f>1/L25</f>
        <v>26.3157894736842</v>
      </c>
    </row>
    <row r="26" spans="1:15">
      <c r="A26" t="str">
        <v>U-values</v>
      </c>
      <c r="E26" t="str">
        <v>as is:</v>
      </c>
      <c r="F26">
        <f>D35</f>
        <v>0.453601566987231</v>
      </c>
      <c r="J26" t="str">
        <v>polystyrene(smooth surface)</v>
      </c>
      <c r="K26">
        <v>0.2</v>
      </c>
      <c r="L26">
        <f>K26*$K$23</f>
        <v>0.028844</v>
      </c>
      <c r="M26">
        <f>1/K26</f>
        <v>5</v>
      </c>
      <c r="N26">
        <f>1/L26</f>
        <v>34.6692553043961</v>
      </c>
    </row>
    <row r="27" spans="1:15">
      <c r="A27" t="s">
        <v>14</v>
      </c>
      <c r="B27" t="s">
        <v>21</v>
      </c>
      <c r="C27" t="s">
        <v>2</v>
      </c>
      <c r="D27" t="str">
        <v>R(m2K/W)</v>
      </c>
      <c r="E27" t="str">
        <v>plus therm bd:</v>
      </c>
      <c r="F27">
        <f>1/sum(D28:D34)</f>
        <v>0.2730068872192</v>
      </c>
      <c r="J27" t="str">
        <v>brick (outer leaf)</v>
      </c>
      <c r="K27">
        <v>9</v>
      </c>
      <c r="L27">
        <v>0.77</v>
      </c>
      <c r="M27">
        <f>1/K27</f>
        <v>0.111111111111111</v>
      </c>
      <c r="N27">
        <f>1/L27</f>
        <v>1.2987012987013</v>
      </c>
    </row>
    <row r="28" spans="1:15">
      <c r="A28" t="str">
        <v>thermal bd</v>
      </c>
      <c r="B28">
        <f>L33</f>
        <v>0.024</v>
      </c>
      <c r="C28">
        <v>0.035</v>
      </c>
      <c r="D28">
        <f>1/$B28*$C28</f>
        <v>1.45833333333333</v>
      </c>
      <c r="E28">
        <f>1/$B28*$C28</f>
        <v>1.45833333333333</v>
      </c>
      <c r="J28" t="str">
        <v>brick (inner leaf)</v>
      </c>
      <c r="L28">
        <v>0.56</v>
      </c>
    </row>
    <row r="29" spans="1:15">
      <c r="A29" t="str">
        <v>inside surface</v>
      </c>
      <c r="D29">
        <f>L39</f>
        <v>0.13</v>
      </c>
      <c r="E29">
        <f>L39</f>
        <v>0.13</v>
      </c>
      <c r="J29" t="s">
        <v>22</v>
      </c>
      <c r="K29">
        <v>4.5</v>
      </c>
      <c r="L29">
        <v>0.21</v>
      </c>
      <c r="M29">
        <f>1/K29</f>
        <v>0.222222222222222</v>
      </c>
      <c r="N29">
        <f>1/L29</f>
        <v>4.76190476190476</v>
      </c>
    </row>
    <row r="30" spans="1:15">
      <c r="A30" t="str">
        <v>plaster</v>
      </c>
      <c r="B30">
        <f>L29</f>
        <v>0.21</v>
      </c>
      <c r="C30">
        <v>0.018</v>
      </c>
      <c r="D30">
        <f>1/$B30*$C30</f>
        <v>0.0857142857142857</v>
      </c>
      <c r="E30">
        <f>1/$B30*$C30</f>
        <v>0.0857142857142857</v>
      </c>
      <c r="J30" t="str">
        <v>mortar (inner leaf)</v>
      </c>
      <c r="L30">
        <v>0.88</v>
      </c>
      <c r="N30">
        <f>1/L30</f>
        <v>1.13636363636364</v>
      </c>
    </row>
    <row r="31" spans="1:15">
      <c r="A31" t="s">
        <v>23</v>
      </c>
      <c r="B31">
        <f>L28</f>
        <v>0.56</v>
      </c>
      <c r="C31">
        <v>0.105</v>
      </c>
      <c r="D31">
        <f>1/B31*C31</f>
        <v>0.1875</v>
      </c>
      <c r="E31">
        <f>1/$B31*$C31</f>
        <v>0.1875</v>
      </c>
      <c r="J31" t="str">
        <v>mortar (outer leaf)</v>
      </c>
      <c r="L31">
        <v>0.94</v>
      </c>
      <c r="N31">
        <f>1/L31</f>
        <v>1.06382978723404</v>
      </c>
    </row>
    <row r="32" spans="1:15">
      <c r="A32" t="s">
        <v>24</v>
      </c>
      <c r="B32">
        <v>0.04</v>
      </c>
      <c r="C32">
        <v>0.065</v>
      </c>
      <c r="D32">
        <f>1/B32*C32</f>
        <v>1.625</v>
      </c>
      <c r="E32">
        <f>L37</f>
        <v>0.18</v>
      </c>
      <c r="J32" t="s">
        <v>24</v>
      </c>
      <c r="L32">
        <v>0.04</v>
      </c>
    </row>
    <row r="33" spans="1:15">
      <c r="A33" t="s">
        <v>23</v>
      </c>
      <c r="B33">
        <f>L27</f>
        <v>0.77</v>
      </c>
      <c r="C33">
        <v>0.105</v>
      </c>
      <c r="D33">
        <f>1/B33*C33</f>
        <v>0.136363636363636</v>
      </c>
      <c r="E33">
        <f>1/$B33*$C33</f>
        <v>0.136363636363636</v>
      </c>
      <c r="J33" t="str">
        <v>phenolic foam</v>
      </c>
      <c r="L33">
        <v>0.024</v>
      </c>
    </row>
    <row r="34" spans="1:15">
      <c r="A34" t="str">
        <v>outside</v>
      </c>
      <c r="D34">
        <f>L38</f>
        <v>0.04</v>
      </c>
      <c r="E34">
        <f>L38</f>
        <v>0.04</v>
      </c>
      <c r="J34" t="s">
        <v>25</v>
      </c>
      <c r="L34">
        <v>0.1</v>
      </c>
    </row>
    <row r="35" spans="1:15">
      <c r="C35">
        <f>sum(C30:C34)</f>
        <v>0.293</v>
      </c>
      <c r="D35">
        <f>1/sum(D29:D34)</f>
        <v>0.453601566987231</v>
      </c>
      <c r="E35">
        <f>1/sum(E29:E34)</f>
        <v>1.31652062406497</v>
      </c>
    </row>
    <row r="36" spans="1:15">
      <c r="L36" t="str">
        <v>m2K/W</v>
      </c>
    </row>
    <row r="37" spans="1:15">
      <c r="A37" t="str">
        <v>Bay roof</v>
      </c>
      <c r="J37" t="str">
        <v>cavity</v>
      </c>
      <c r="L37">
        <v>0.18</v>
      </c>
      <c r="N37">
        <f>1/L37</f>
        <v>5.55555555555556</v>
      </c>
    </row>
    <row r="38" spans="1:15">
      <c r="A38" t="str">
        <v>felt</v>
      </c>
      <c r="B38">
        <v>1</v>
      </c>
      <c r="C38">
        <v>0.002</v>
      </c>
      <c r="D38">
        <f>1/$B38*$C38</f>
        <v>0.002</v>
      </c>
      <c r="E38">
        <f>1/$B38*$C38</f>
        <v>0.002</v>
      </c>
      <c r="J38" t="str">
        <v>external surface (wall)</v>
      </c>
      <c r="L38">
        <v>0.04</v>
      </c>
    </row>
    <row r="39" spans="1:15">
      <c r="A39" t="str">
        <v>plank</v>
      </c>
      <c r="B39">
        <f>0.8*K23</f>
        <v>0.115376</v>
      </c>
      <c r="C39">
        <v>0.012</v>
      </c>
      <c r="D39">
        <f>1/$B39*$C39</f>
        <v>0.104007765913188</v>
      </c>
      <c r="E39">
        <f>1/$B39*$C39</f>
        <v>0.104007765913188</v>
      </c>
      <c r="J39" t="str">
        <v>internal surface (wall)</v>
      </c>
      <c r="L39">
        <v>0.13</v>
      </c>
    </row>
    <row r="40" spans="1:15">
      <c r="A40" t="s">
        <v>25</v>
      </c>
      <c r="B40">
        <f>L34</f>
        <v>0.1</v>
      </c>
      <c r="C40">
        <v>0.018</v>
      </c>
      <c r="E40">
        <f>1/$B40*$C40</f>
        <v>0.18</v>
      </c>
      <c r="J40" t="str">
        <v>external surface (roof)</v>
      </c>
      <c r="L40">
        <v>0.04</v>
      </c>
    </row>
    <row r="41" spans="1:15">
      <c r="A41" t="str">
        <v>kingspan</v>
      </c>
      <c r="B41">
        <f>L33</f>
        <v>0.024</v>
      </c>
      <c r="C41">
        <v>0.05</v>
      </c>
      <c r="D41">
        <f>1/$B41*$C41</f>
        <v>2.08333333333333</v>
      </c>
      <c r="J41" t="str">
        <v>internal surface (roof)</v>
      </c>
      <c r="L41">
        <v>0.1</v>
      </c>
    </row>
    <row r="42" spans="1:15">
      <c r="A42" t="str">
        <v>glasswool</v>
      </c>
      <c r="B42">
        <v>0.04</v>
      </c>
      <c r="C42">
        <v>0.13</v>
      </c>
      <c r="D42">
        <f>1/$B42*$C42</f>
        <v>3.25</v>
      </c>
      <c r="J42" t="str">
        <v>external surface (floor)</v>
      </c>
      <c r="L42">
        <v>0.04</v>
      </c>
    </row>
    <row r="43" spans="1:15">
      <c r="A43" t="str">
        <v>polystyrene</v>
      </c>
      <c r="B43">
        <f>L25</f>
        <v>0.038</v>
      </c>
      <c r="C43">
        <v>0.1</v>
      </c>
      <c r="D43">
        <f>1/$B43*$C43</f>
        <v>2.63157894736842</v>
      </c>
      <c r="J43" t="str">
        <v>internal surface (floor)</v>
      </c>
      <c r="L43">
        <v>0.17</v>
      </c>
    </row>
    <row r="44" spans="1:15">
      <c r="A44" t="s">
        <v>22</v>
      </c>
      <c r="B44">
        <f>L29</f>
        <v>0.21</v>
      </c>
      <c r="C44">
        <v>0.0095</v>
      </c>
      <c r="D44">
        <f>1/$B44*$C44</f>
        <v>0.0452380952380952</v>
      </c>
      <c r="E44">
        <f>1/$B44*$C44</f>
        <v>0.0452380952380952</v>
      </c>
    </row>
    <row r="45" spans="1:15">
      <c r="D45">
        <f>1/sum(D38:D44)</f>
        <v>0.123211004827918</v>
      </c>
      <c r="E45">
        <f>1/sum(E38:E44)</f>
        <v>3.01890564466039</v>
      </c>
      <c r="F45">
        <f>E45/D45</f>
        <v>24.5019156273965</v>
      </c>
    </row>
    <row r="47" spans="1:15">
      <c r="A47" t="str">
        <v>Thermal Mass</v>
      </c>
    </row>
    <row r="48" spans="1:15">
      <c r="A48" t="str">
        <v>From SAP: </v>
      </c>
      <c r="B48">
        <v>19</v>
      </c>
      <c r="C48" t="str">
        <v>(Thermal Mass Parameter) Solid floor. maonry+dense plaster on all walls</v>
      </c>
    </row>
    <row r="49" spans="1:15">
      <c r="A49" t="s">
        <v>16</v>
      </c>
      <c r="B49" t="str">
        <v>Y(W/m2K)</v>
      </c>
      <c r="E49" t="str">
        <v>Thermal mass= Sum(area, addmittance(Y))/total floor area</v>
      </c>
    </row>
    <row r="50" spans="1:15">
      <c r="A50" t="str">
        <v>concrete,carpet</v>
      </c>
      <c r="B50">
        <v>3.2</v>
      </c>
    </row>
    <row r="52" spans="1:15">
      <c r="A52" t="str">
        <v>Heatloss room by room</v>
      </c>
      <c r="G52" t="str">
        <v>Total:</v>
      </c>
      <c r="H52">
        <f>if(H70&gt;0,H70,0)+if(H83&gt;0,H83,0)+if(H94&gt;0,H94,0)+if(H107&gt;0,H107,0)+if(H118&gt;0,H118,0)+if(H129&gt;0,H129,0)+if(H143&gt;0,H143,0)</f>
        <v>5509.10144712208</v>
      </c>
      <c r="I52">
        <f>I70+I83+I94+I107+I118+I129+I143</f>
        <v>7881.92103712208</v>
      </c>
    </row>
    <row r="54" spans="1:15">
      <c r="A54" t="str">
        <v>Ground temp</v>
      </c>
      <c r="C54">
        <v>11</v>
      </c>
    </row>
    <row r="55" spans="1:15">
      <c r="A55" t="str">
        <v>outside design temp</v>
      </c>
      <c r="C55">
        <v>-1</v>
      </c>
    </row>
    <row r="57" spans="1:15">
      <c r="A57" t="str">
        <v>Lounge</v>
      </c>
      <c r="C57" t="str">
        <v>Tempdiff</v>
      </c>
      <c r="D57"/>
      <c r="F57" t="str">
        <v>heatloss</v>
      </c>
      <c r="H57" t="str">
        <v>total</v>
      </c>
    </row>
    <row r="58" spans="1:15">
      <c r="A58" t="str">
        <v>element</v>
      </c>
      <c r="B58" t="str">
        <v>Area</v>
      </c>
      <c r="C58" t="s">
        <v>26</v>
      </c>
      <c r="D58" t="s">
        <v>27</v>
      </c>
      <c r="E58" t="str">
        <v>U-value</v>
      </c>
      <c r="F58" t="s">
        <v>26</v>
      </c>
      <c r="G58" t="s">
        <v>27</v>
      </c>
      <c r="K58" t="str">
        <v>room</v>
      </c>
      <c r="L58" t="str">
        <v>temp</v>
      </c>
      <c r="M58" t="str">
        <v>air changes</v>
      </c>
    </row>
    <row r="59" spans="1:15">
      <c r="A59" t="str">
        <v>External wall</v>
      </c>
      <c r="B59">
        <f>(3.81*2+8.2)*2.4-B60-B61-B62</f>
        <v>27.1276</v>
      </c>
      <c r="C59">
        <f>$L$59-$C$55</f>
        <v>19</v>
      </c>
      <c r="D59">
        <f>$L$59-$C$55</f>
        <v>19</v>
      </c>
      <c r="E59">
        <f>$J$3</f>
        <v>0.453601566987231</v>
      </c>
      <c r="F59">
        <f>$E59*C59*$B59</f>
        <v>233.797315503454</v>
      </c>
      <c r="G59">
        <f>$E59*D59*$B59</f>
        <v>233.797315503454</v>
      </c>
      <c r="K59" t="str">
        <v>lounge</v>
      </c>
      <c r="L59">
        <v>18</v>
      </c>
      <c r="M59">
        <v>1.5</v>
      </c>
    </row>
    <row r="60" spans="1:15">
      <c r="A60" t="str">
        <v>Bay window</v>
      </c>
      <c r="B60">
        <f>(2.36+0.62+0.62)*1.82</f>
        <v>6.552</v>
      </c>
      <c r="C60">
        <f>$L$59-$C$55</f>
        <v>19</v>
      </c>
      <c r="D60">
        <f>$L$59-$C$55</f>
        <v>19</v>
      </c>
      <c r="E60">
        <f>$J$4</f>
        <v>1.7</v>
      </c>
      <c r="F60">
        <f>$E60*C60*$B60</f>
        <v>211.6296</v>
      </c>
      <c r="G60">
        <f>$E60*D60*$B60</f>
        <v>211.6296</v>
      </c>
      <c r="K60" t="str">
        <v>kitchen</v>
      </c>
      <c r="L60">
        <v>14</v>
      </c>
      <c r="M60">
        <v>2</v>
      </c>
    </row>
    <row r="61" spans="1:15">
      <c r="A61" t="s">
        <v>18</v>
      </c>
      <c r="B61">
        <f>1.07*2.12</f>
        <v>2.2684</v>
      </c>
      <c r="C61">
        <f>$L$59-$C$55</f>
        <v>19</v>
      </c>
      <c r="D61">
        <f>$L$59-$C$55</f>
        <v>19</v>
      </c>
      <c r="E61">
        <f>$J$4</f>
        <v>1.7</v>
      </c>
      <c r="F61">
        <f>$E61*C61*$B61</f>
        <v>73.26932</v>
      </c>
      <c r="G61">
        <f>$E61*D61*$B61</f>
        <v>73.26932</v>
      </c>
      <c r="K61" t="str">
        <v>hall</v>
      </c>
      <c r="L61">
        <v>10</v>
      </c>
      <c r="M61">
        <v>2</v>
      </c>
    </row>
    <row r="62" spans="1:15">
      <c r="A62" t="s">
        <v>15</v>
      </c>
      <c r="B62">
        <f>1*2.02</f>
        <v>2.02</v>
      </c>
      <c r="C62">
        <f>$L$59-$C$55</f>
        <v>19</v>
      </c>
      <c r="D62">
        <f>$L$59-$C$55</f>
        <v>19</v>
      </c>
      <c r="E62">
        <f>$J$4</f>
        <v>1.7</v>
      </c>
      <c r="F62">
        <f>$E62*C62*$B62</f>
        <v>65.246</v>
      </c>
      <c r="G62">
        <f>$E62*D62*$B62</f>
        <v>65.246</v>
      </c>
      <c r="K62" t="str">
        <v>bog</v>
      </c>
      <c r="L62">
        <v>10</v>
      </c>
      <c r="M62">
        <v>1</v>
      </c>
    </row>
    <row r="63" spans="1:15">
      <c r="A63" t="str">
        <v>kitchen wall</v>
      </c>
      <c r="B63">
        <f>3.11*2.4</f>
        <v>7.464</v>
      </c>
      <c r="C63">
        <f>$L59-L67</f>
        <v>8</v>
      </c>
      <c r="D63">
        <f>$L59-L67</f>
        <v>8</v>
      </c>
      <c r="E63">
        <f>$J$8</f>
        <v>1.9</v>
      </c>
      <c r="F63">
        <f>$E63*C63*$B63</f>
        <v>113.4528</v>
      </c>
      <c r="G63">
        <f>$E63*D63*$B63</f>
        <v>113.4528</v>
      </c>
      <c r="K63" t="str">
        <v>bedroom</v>
      </c>
      <c r="L63">
        <v>14</v>
      </c>
      <c r="M63">
        <v>1</v>
      </c>
    </row>
    <row r="64" spans="1:15">
      <c r="A64" t="str">
        <v>hall wall</v>
      </c>
      <c r="B64">
        <f>4.98*2.4</f>
        <v>11.952</v>
      </c>
      <c r="C64">
        <f>$L59-L67</f>
        <v>8</v>
      </c>
      <c r="D64">
        <f>$L59-L67</f>
        <v>8</v>
      </c>
      <c r="E64">
        <f>$J$8</f>
        <v>1.9</v>
      </c>
      <c r="F64">
        <f>$E64*C64*$B64</f>
        <v>181.6704</v>
      </c>
      <c r="G64">
        <f>$E64*D64*$B64</f>
        <v>181.6704</v>
      </c>
      <c r="K64" t="s">
        <v>28</v>
      </c>
      <c r="L64">
        <v>18</v>
      </c>
      <c r="M64">
        <v>1.5</v>
      </c>
    </row>
    <row r="65" spans="1:15">
      <c r="A65" t="s">
        <v>16</v>
      </c>
      <c r="B65">
        <f>8.2*3.81+2.14*0.77</f>
        <v>32.8898</v>
      </c>
      <c r="C65">
        <f>$L59-$C$54</f>
        <v>7</v>
      </c>
      <c r="D65">
        <f>$L59-$C$54</f>
        <v>7</v>
      </c>
      <c r="E65">
        <f>$J$7</f>
        <v>1.2</v>
      </c>
      <c r="F65">
        <f>$E65*C65*$B65</f>
        <v>276.27432</v>
      </c>
      <c r="G65">
        <f>$E65*D65*$B65</f>
        <v>276.27432</v>
      </c>
      <c r="K65" t="s">
        <v>29</v>
      </c>
      <c r="L65">
        <v>18</v>
      </c>
      <c r="M65">
        <v>1.5</v>
      </c>
    </row>
    <row r="66" spans="1:15">
      <c r="A66" t="str">
        <v>Ceiling (office)</v>
      </c>
      <c r="B66">
        <f>3.5*3.81</f>
        <v>13.335</v>
      </c>
      <c r="C66">
        <f>$L59-L64</f>
        <v>0</v>
      </c>
      <c r="D66">
        <f>$L59-L67</f>
        <v>8</v>
      </c>
      <c r="E66">
        <f>$J$11</f>
        <v>2</v>
      </c>
      <c r="F66">
        <f>$E66*C66*$B66</f>
        <v>0</v>
      </c>
      <c r="G66">
        <f>$E66*D66*$B66</f>
        <v>213.36</v>
      </c>
      <c r="K66" t="str">
        <v>bathroom</v>
      </c>
      <c r="L66">
        <v>23</v>
      </c>
      <c r="M66">
        <v>2</v>
      </c>
    </row>
    <row r="67" spans="1:15">
      <c r="A67" t="str">
        <v>Ceiling (to bed)</v>
      </c>
      <c r="B67">
        <f>4.8*3.81</f>
        <v>18.288</v>
      </c>
      <c r="C67">
        <f>$L59-L63</f>
        <v>4</v>
      </c>
      <c r="D67">
        <f>$L59-L67</f>
        <v>8</v>
      </c>
      <c r="E67">
        <f>$J$11</f>
        <v>2</v>
      </c>
      <c r="F67">
        <f>$E67*C67*$B67</f>
        <v>146.304</v>
      </c>
      <c r="G67">
        <f>$E67*D67*$B67</f>
        <v>292.608</v>
      </c>
      <c r="K67" t="str">
        <v>unusedroom</v>
      </c>
      <c r="L67">
        <f>max(L69,C55)</f>
        <v>10</v>
      </c>
    </row>
    <row r="68" spans="1:15">
      <c r="A68" t="str">
        <v>Bay window ceil</v>
      </c>
      <c r="B68">
        <f>2.14*0.77</f>
        <v>1.6478</v>
      </c>
      <c r="C68">
        <f>$L$59-$C$55</f>
        <v>19</v>
      </c>
      <c r="D68">
        <f>$L$59-$C$55</f>
        <v>19</v>
      </c>
      <c r="E68">
        <f>D45</f>
        <v>0.123211004827918</v>
      </c>
      <c r="F68">
        <f>$E68*C68*$B68</f>
        <v>3.85751478135342</v>
      </c>
      <c r="G68">
        <f>$E68*D68*$B68</f>
        <v>3.85751478135342</v>
      </c>
      <c r="K68" t="str">
        <v>airing cupboard</v>
      </c>
      <c r="L68">
        <v>25</v>
      </c>
    </row>
    <row r="69" spans="1:15">
      <c r="B69" t="s">
        <v>30</v>
      </c>
      <c r="E69" t="s">
        <v>31</v>
      </c>
      <c r="F69">
        <f>sum(F59:F68)</f>
        <v>1305.50127028481</v>
      </c>
      <c r="G69">
        <f>sum(G59:G68)</f>
        <v>1665.16527028481</v>
      </c>
      <c r="H69" t="s">
        <v>32</v>
      </c>
      <c r="I69" t="s">
        <v>33</v>
      </c>
      <c r="K69" t="str">
        <v>unused nominal</v>
      </c>
      <c r="L69">
        <v>10</v>
      </c>
    </row>
    <row r="70" spans="1:15">
      <c r="A70" t="s">
        <v>34</v>
      </c>
      <c r="B70">
        <f>B65*2.4</f>
        <v>78.93552</v>
      </c>
      <c r="C70">
        <f>$L$59-$C$55</f>
        <v>19</v>
      </c>
      <c r="D70">
        <f>$L$59-$C$55</f>
        <v>19</v>
      </c>
      <c r="E70">
        <f>M59*$N$4</f>
        <v>0.495</v>
      </c>
      <c r="F70">
        <f>$E70*C70*$B70*$M$59</f>
        <v>1113.5828484</v>
      </c>
      <c r="G70">
        <f>$E70*D70*$B70*$M$59</f>
        <v>1113.5828484</v>
      </c>
      <c r="H70">
        <f>sum(F69:F70)</f>
        <v>2419.08411868481</v>
      </c>
      <c r="I70">
        <f>sum(G69:G70)</f>
        <v>2778.74811868481</v>
      </c>
    </row>
    <row r="72" spans="1:15">
      <c r="A72" t="s">
        <v>28</v>
      </c>
    </row>
    <row r="73" spans="1:15">
      <c r="A73" t="s">
        <v>35</v>
      </c>
      <c r="B73">
        <f>3.58*2.01-B75</f>
        <v>6.083</v>
      </c>
      <c r="C73">
        <f>$L$64-$C$55</f>
        <v>19</v>
      </c>
      <c r="D73">
        <f>$L$64-$C$55</f>
        <v>19</v>
      </c>
      <c r="E73">
        <f>$J$3</f>
        <v>0.453601566987231</v>
      </c>
      <c r="F73">
        <f>$E73*C73*$B73</f>
        <v>52.4259083076832</v>
      </c>
      <c r="G73">
        <f>$E73*D73*$B73</f>
        <v>52.4259083076832</v>
      </c>
    </row>
    <row r="74" spans="1:15">
      <c r="A74" t="s">
        <v>36</v>
      </c>
      <c r="B74">
        <f>3.82*2.29-B76</f>
        <v>7.635</v>
      </c>
      <c r="C74">
        <f>$L$64-$C$55</f>
        <v>19</v>
      </c>
      <c r="D74">
        <f>$L$64-$C$55</f>
        <v>19</v>
      </c>
      <c r="E74">
        <f>$J$3</f>
        <v>0.453601566987231</v>
      </c>
      <c r="F74">
        <f>$E74*C74*$B74</f>
        <v>65.8017113150027</v>
      </c>
      <c r="G74">
        <f>$E74*D74*$B74</f>
        <v>65.8017113150027</v>
      </c>
    </row>
    <row r="75" spans="1:15">
      <c r="A75" t="str">
        <v>Window(S)</v>
      </c>
      <c r="B75">
        <f>1.04*1.07</f>
        <v>1.1128</v>
      </c>
      <c r="C75">
        <f>$L$64-$C$55</f>
        <v>19</v>
      </c>
      <c r="D75">
        <f>$L$64-$C$55</f>
        <v>19</v>
      </c>
      <c r="E75">
        <f>$J$4</f>
        <v>1.7</v>
      </c>
      <c r="F75">
        <f>$E75*C75*$B75</f>
        <v>35.94344</v>
      </c>
      <c r="G75">
        <f>$E75*D75*$B75</f>
        <v>35.94344</v>
      </c>
    </row>
    <row r="76" spans="1:15">
      <c r="A76" t="s">
        <v>37</v>
      </c>
      <c r="B76">
        <f>1.04*1.07</f>
        <v>1.1128</v>
      </c>
      <c r="C76">
        <f>$L$64-$C$55</f>
        <v>19</v>
      </c>
      <c r="D76">
        <f>$L$64-$C$55</f>
        <v>19</v>
      </c>
      <c r="E76">
        <f>$J$4</f>
        <v>1.7</v>
      </c>
      <c r="F76">
        <f>$E76*C76*$B76</f>
        <v>35.94344</v>
      </c>
      <c r="G76">
        <f>$E76*D76*$B76</f>
        <v>35.94344</v>
      </c>
    </row>
    <row r="77" spans="1:15">
      <c r="A77" t="str">
        <v>Door</v>
      </c>
      <c r="B77">
        <f>0.74*1.96</f>
        <v>1.4504</v>
      </c>
      <c r="C77">
        <f>$L$64-$L$61</f>
        <v>8</v>
      </c>
      <c r="D77">
        <f>$L$64-$L$61</f>
        <v>8</v>
      </c>
      <c r="E77">
        <v>2</v>
      </c>
      <c r="F77">
        <f>$E77*C77*$B77</f>
        <v>23.2064</v>
      </c>
      <c r="G77">
        <f>$E77*D77*$B77</f>
        <v>23.2064</v>
      </c>
    </row>
    <row r="78" spans="1:15">
      <c r="A78" t="str">
        <v>T-office wall</v>
      </c>
      <c r="B78">
        <f>2.52*2.29-B77</f>
        <v>4.3204</v>
      </c>
      <c r="C78">
        <f>L64-L65</f>
        <v>0</v>
      </c>
      <c r="D78">
        <f>L64-L67</f>
        <v>8</v>
      </c>
      <c r="E78">
        <f>$J$8</f>
        <v>1.9</v>
      </c>
      <c r="F78">
        <f>$E78*C78*$B78</f>
        <v>0</v>
      </c>
      <c r="G78">
        <f>$E78*D78*$B78</f>
        <v>65.67008</v>
      </c>
    </row>
    <row r="79" spans="1:15">
      <c r="A79" t="str">
        <v>Bed wall</v>
      </c>
      <c r="B79">
        <f>3.82*2.29</f>
        <v>8.7478</v>
      </c>
      <c r="C79">
        <f>L64-L63</f>
        <v>4</v>
      </c>
      <c r="D79">
        <f>L64-$L$67</f>
        <v>8</v>
      </c>
      <c r="E79">
        <f>$J$8</f>
        <v>1.9</v>
      </c>
      <c r="F79">
        <f>$E79*C79*$B79</f>
        <v>66.48328</v>
      </c>
      <c r="G79">
        <f>$E79*D79*$B79</f>
        <v>132.96656</v>
      </c>
    </row>
    <row r="80" spans="1:15">
      <c r="A80" t="s">
        <v>38</v>
      </c>
      <c r="B80">
        <f>3.58*3.82+0.6*0.85</f>
        <v>14.1856</v>
      </c>
      <c r="C80">
        <f>$L$64-$C$55</f>
        <v>19</v>
      </c>
      <c r="D80">
        <f>$L$64-$C$55</f>
        <v>19</v>
      </c>
      <c r="E80">
        <f>$J$6</f>
        <v>0.16</v>
      </c>
      <c r="F80">
        <f>$E80*C80*$B80</f>
        <v>43.124224</v>
      </c>
      <c r="G80">
        <f>$E80*D80*$B80</f>
        <v>43.124224</v>
      </c>
    </row>
    <row r="81" spans="1:15">
      <c r="A81" t="s">
        <v>16</v>
      </c>
      <c r="B81">
        <f>B80</f>
        <v>14.1856</v>
      </c>
      <c r="C81">
        <f>L64-L59</f>
        <v>0</v>
      </c>
      <c r="D81">
        <f>L64-L67</f>
        <v>8</v>
      </c>
      <c r="E81">
        <f>J11</f>
        <v>2</v>
      </c>
      <c r="F81">
        <f>$E81*C81*$B81</f>
        <v>0</v>
      </c>
      <c r="G81">
        <f>$E81*D81*$B81</f>
        <v>226.9696</v>
      </c>
    </row>
    <row r="82" spans="1:15">
      <c r="B82" t="s">
        <v>30</v>
      </c>
      <c r="E82" t="s">
        <v>31</v>
      </c>
      <c r="F82">
        <f>sum(F73:F81)</f>
        <v>322.928403622686</v>
      </c>
      <c r="G82">
        <f>sum(G73:G81)</f>
        <v>682.051363622686</v>
      </c>
      <c r="H82" t="s">
        <v>32</v>
      </c>
      <c r="I82" t="s">
        <v>33</v>
      </c>
    </row>
    <row r="83" spans="1:15">
      <c r="A83" t="s">
        <v>34</v>
      </c>
      <c r="B83">
        <f>B81*2.3</f>
        <v>32.62688</v>
      </c>
      <c r="C83">
        <f>$L$59-$C$55</f>
        <v>19</v>
      </c>
      <c r="D83">
        <f>$L$59-$C$55</f>
        <v>19</v>
      </c>
      <c r="E83">
        <f>M64*$N$4</f>
        <v>0.495</v>
      </c>
      <c r="F83">
        <f>$E83*C83*$B83*$M$59</f>
        <v>460.2837096</v>
      </c>
      <c r="G83">
        <f>$E83*D83*$B83*$M$59</f>
        <v>460.2837096</v>
      </c>
      <c r="H83">
        <f>sum(F82:F83)</f>
        <v>783.212113222686</v>
      </c>
      <c r="I83">
        <f>sum(G82:G83)</f>
        <v>1142.33507322269</v>
      </c>
    </row>
    <row r="85" spans="1:15">
      <c r="A85" t="s">
        <v>29</v>
      </c>
    </row>
    <row r="86" spans="1:15">
      <c r="A86" t="s">
        <v>39</v>
      </c>
      <c r="B86">
        <f>2.52*2.01</f>
        <v>5.0652</v>
      </c>
      <c r="C86">
        <f>$L$65-$C$55</f>
        <v>19</v>
      </c>
      <c r="D86">
        <f>$L$65-$C$55</f>
        <v>19</v>
      </c>
      <c r="E86">
        <f>$J$3</f>
        <v>0.453601566987231</v>
      </c>
      <c r="F86">
        <f>$E86*C86*$B86</f>
        <v>43.6540704849708</v>
      </c>
      <c r="G86">
        <f>$E86*D86*$B86</f>
        <v>43.6540704849708</v>
      </c>
    </row>
    <row r="87" spans="1:15">
      <c r="A87" t="s">
        <v>36</v>
      </c>
      <c r="B87">
        <f>2.74*2.29-B88</f>
        <v>5.1618</v>
      </c>
      <c r="C87">
        <f>$L$65-$C$55</f>
        <v>19</v>
      </c>
      <c r="D87">
        <f>$L$65-$C$55</f>
        <v>19</v>
      </c>
      <c r="E87">
        <f>$J$3</f>
        <v>0.453601566987231</v>
      </c>
      <c r="F87">
        <f>$E87*C87*$B87</f>
        <v>44.4866108010191</v>
      </c>
      <c r="G87">
        <f>$E87*D87*$B87</f>
        <v>44.4866108010191</v>
      </c>
    </row>
    <row r="88" spans="1:15">
      <c r="A88" t="s">
        <v>37</v>
      </c>
      <c r="B88">
        <f>1.04*1.07</f>
        <v>1.1128</v>
      </c>
      <c r="C88">
        <f>$L$65-$C$55</f>
        <v>19</v>
      </c>
      <c r="D88">
        <f>$L$65-$C$55</f>
        <v>19</v>
      </c>
      <c r="E88">
        <f>$J$4</f>
        <v>1.7</v>
      </c>
      <c r="F88">
        <f>$E88*C88*$B88</f>
        <v>35.94344</v>
      </c>
      <c r="G88">
        <f>$E88*D88*$B88</f>
        <v>35.94344</v>
      </c>
    </row>
    <row r="89" spans="1:15">
      <c r="A89" t="s">
        <v>40</v>
      </c>
      <c r="B89">
        <f>B78</f>
        <v>4.3204</v>
      </c>
      <c r="C89">
        <f>$L$65-$L$64</f>
        <v>0</v>
      </c>
      <c r="D89">
        <f>$L$65-$L$67</f>
        <v>8</v>
      </c>
      <c r="E89">
        <f>$J$8</f>
        <v>1.9</v>
      </c>
      <c r="F89">
        <f>$E89*C89*$B89</f>
        <v>0</v>
      </c>
      <c r="G89">
        <f>$E89*D89*$B89</f>
        <v>65.67008</v>
      </c>
    </row>
    <row r="90" spans="1:15">
      <c r="A90" t="s">
        <v>41</v>
      </c>
      <c r="B90">
        <f>2.4*2.29</f>
        <v>5.496</v>
      </c>
      <c r="C90">
        <f>$L$65-$L$64</f>
        <v>0</v>
      </c>
      <c r="D90">
        <f>$L$65-$L$67</f>
        <v>8</v>
      </c>
      <c r="E90">
        <f>$J$8</f>
        <v>1.9</v>
      </c>
      <c r="F90">
        <f>$E90*C90*$B90</f>
        <v>0</v>
      </c>
      <c r="G90">
        <f>$E90*D90*$B90</f>
        <v>83.5392</v>
      </c>
    </row>
    <row r="91" spans="1:15">
      <c r="A91" t="s">
        <v>38</v>
      </c>
      <c r="B91">
        <f>2.54*2.74+0.23*0.9</f>
        <v>7.1666</v>
      </c>
      <c r="C91">
        <f>$L$65-$C$55</f>
        <v>19</v>
      </c>
      <c r="D91">
        <f>$L$65-$C$55</f>
        <v>19</v>
      </c>
      <c r="E91">
        <f>$J$6</f>
        <v>0.16</v>
      </c>
      <c r="F91">
        <f>$E91*C91*$B91</f>
        <v>21.786464</v>
      </c>
      <c r="G91">
        <f>$E91*D91*$B91</f>
        <v>21.786464</v>
      </c>
    </row>
    <row r="92" spans="1:15">
      <c r="A92" t="s">
        <v>16</v>
      </c>
      <c r="B92">
        <f>B91</f>
        <v>7.1666</v>
      </c>
      <c r="C92">
        <f>$L$65-$L$59</f>
        <v>0</v>
      </c>
      <c r="D92">
        <f>$L$65-$L$67</f>
        <v>8</v>
      </c>
      <c r="E92">
        <v>2</v>
      </c>
      <c r="F92">
        <f>$E92*C92*$B92</f>
        <v>0</v>
      </c>
      <c r="G92">
        <f>$E92*D92*$B92</f>
        <v>114.6656</v>
      </c>
    </row>
    <row r="93" spans="1:15">
      <c r="B93" t="s">
        <v>30</v>
      </c>
      <c r="E93" t="s">
        <v>31</v>
      </c>
      <c r="F93">
        <f>sum(F86:F92)</f>
        <v>145.87058528599</v>
      </c>
      <c r="G93">
        <f>sum(G86:G92)</f>
        <v>409.74546528599</v>
      </c>
      <c r="H93" t="s">
        <v>32</v>
      </c>
      <c r="I93" t="s">
        <v>33</v>
      </c>
    </row>
    <row r="94" spans="1:15">
      <c r="A94" t="s">
        <v>34</v>
      </c>
      <c r="B94">
        <f>B92*2.3</f>
        <v>16.48318</v>
      </c>
      <c r="C94">
        <f>$L$65-$C$55</f>
        <v>19</v>
      </c>
      <c r="D94">
        <f>$L$65-$C$55</f>
        <v>19</v>
      </c>
      <c r="E94">
        <f>M65*$N$4</f>
        <v>0.495</v>
      </c>
      <c r="F94">
        <f>$E94*C94*$B94*$M$59</f>
        <v>232.53646185</v>
      </c>
      <c r="G94">
        <f>$E94*D94*$B94*$M$59</f>
        <v>232.53646185</v>
      </c>
      <c r="H94">
        <f>sum(F93:F94)</f>
        <v>378.40704713599</v>
      </c>
      <c r="I94">
        <f>sum(G93:G94)</f>
        <v>642.28192713599</v>
      </c>
    </row>
    <row r="96" spans="1:15">
      <c r="A96" t="s">
        <v>42</v>
      </c>
    </row>
    <row r="97" spans="1:15">
      <c r="A97" t="s">
        <v>35</v>
      </c>
      <c r="B97">
        <f>4.54*2.01-B99</f>
        <v>6.825</v>
      </c>
      <c r="C97">
        <f>$L$63-$C$55</f>
        <v>15</v>
      </c>
      <c r="D97">
        <f>$L$63-$C$55</f>
        <v>15</v>
      </c>
      <c r="E97">
        <f>$J$3</f>
        <v>0.453601566987231</v>
      </c>
      <c r="F97">
        <f>$E97*C97*$B97</f>
        <v>46.4374604203178</v>
      </c>
      <c r="G97">
        <f>$E97*D97*$B97</f>
        <v>46.4374604203178</v>
      </c>
    </row>
    <row r="98" spans="1:15">
      <c r="A98" t="s">
        <v>43</v>
      </c>
      <c r="B98">
        <f>3.82*2.29</f>
        <v>8.7478</v>
      </c>
      <c r="C98">
        <f>$L$63-$C$55</f>
        <v>15</v>
      </c>
      <c r="D98">
        <f>$L$63-$C$55</f>
        <v>15</v>
      </c>
      <c r="E98">
        <f>$J$3</f>
        <v>0.453601566987231</v>
      </c>
      <c r="F98">
        <f>$E98*C98*$B98</f>
        <v>59.5202368153635</v>
      </c>
      <c r="G98">
        <f>$E98*D98*$B98</f>
        <v>59.5202368153635</v>
      </c>
    </row>
    <row r="99" spans="1:15">
      <c r="A99" t="s">
        <v>18</v>
      </c>
      <c r="B99">
        <f>2.13*1.08</f>
        <v>2.3004</v>
      </c>
      <c r="C99">
        <f>$L$63-$C$55</f>
        <v>15</v>
      </c>
      <c r="D99">
        <f>$L$63-$C$55</f>
        <v>15</v>
      </c>
      <c r="E99">
        <f>$J$4</f>
        <v>1.7</v>
      </c>
      <c r="F99">
        <f>$E99*C99*$B99</f>
        <v>58.6602</v>
      </c>
      <c r="G99">
        <f>$E99*D99*$B99</f>
        <v>58.6602</v>
      </c>
    </row>
    <row r="100" spans="1:15">
      <c r="A100" t="s">
        <v>40</v>
      </c>
      <c r="B100">
        <f>4.32*2.29</f>
        <v>9.8928</v>
      </c>
      <c r="C100">
        <f>$L$63-$L$64</f>
        <v>-4</v>
      </c>
      <c r="D100">
        <f>$L$63-$L$67</f>
        <v>4</v>
      </c>
      <c r="E100">
        <f>$J$8</f>
        <v>1.9</v>
      </c>
      <c r="F100">
        <f>$E100*C100*$B100</f>
        <v>-75.18528</v>
      </c>
      <c r="G100">
        <f>$E100*D100*$B100</f>
        <v>75.18528</v>
      </c>
    </row>
    <row r="101" spans="1:15">
      <c r="A101" t="str">
        <v>Bathroom wall</v>
      </c>
      <c r="B101">
        <f>1.73*2.29</f>
        <v>3.9617</v>
      </c>
      <c r="C101">
        <f>$L$63-$L$66</f>
        <v>-9</v>
      </c>
      <c r="D101">
        <f>$L$63-$L$67</f>
        <v>4</v>
      </c>
      <c r="E101">
        <f>$J$8</f>
        <v>1.9</v>
      </c>
      <c r="F101">
        <f>$E101*C101*$B101</f>
        <v>-67.74507</v>
      </c>
      <c r="G101">
        <f>$E101*D101*$B101</f>
        <v>30.10892</v>
      </c>
    </row>
    <row r="102" spans="1:15">
      <c r="A102" t="s">
        <v>41</v>
      </c>
      <c r="B102">
        <f>1*2.29</f>
        <v>2.29</v>
      </c>
      <c r="C102">
        <f>$L$63-$L$61</f>
        <v>4</v>
      </c>
      <c r="D102">
        <f>$L$63-$L$67</f>
        <v>4</v>
      </c>
      <c r="E102">
        <f>$J$8</f>
        <v>1.9</v>
      </c>
      <c r="F102">
        <f>$E102*C102*$B102</f>
        <v>17.404</v>
      </c>
      <c r="G102">
        <f>$E102*D102*$B102</f>
        <v>17.404</v>
      </c>
    </row>
    <row r="103" spans="1:15">
      <c r="A103" t="str">
        <v>Airing cupboard</v>
      </c>
      <c r="B103">
        <f>1*2.29</f>
        <v>2.29</v>
      </c>
      <c r="C103">
        <f>$L$63-$L$68</f>
        <v>-11</v>
      </c>
      <c r="D103">
        <f>$L$63-$L$67</f>
        <v>4</v>
      </c>
      <c r="E103">
        <f>$J$8</f>
        <v>1.9</v>
      </c>
      <c r="F103">
        <f>$E103*C103*$B103</f>
        <v>-47.861</v>
      </c>
      <c r="G103">
        <f>$E103*D103*$B103</f>
        <v>17.404</v>
      </c>
    </row>
    <row r="104" spans="1:15">
      <c r="A104" t="s">
        <v>38</v>
      </c>
      <c r="B104">
        <f>3.82*4.54+0.6*0.85</f>
        <v>17.8528</v>
      </c>
      <c r="C104">
        <f>$L$63-$C$55</f>
        <v>15</v>
      </c>
      <c r="D104">
        <f>$L$63-$C$55</f>
        <v>15</v>
      </c>
      <c r="E104">
        <f>$J$6</f>
        <v>0.16</v>
      </c>
      <c r="F104">
        <f>$E104*C104*$B104</f>
        <v>42.84672</v>
      </c>
      <c r="G104">
        <f>$E104*D104*$B104</f>
        <v>42.84672</v>
      </c>
    </row>
    <row r="105" spans="1:15">
      <c r="A105" t="s">
        <v>44</v>
      </c>
      <c r="B105">
        <f>B104</f>
        <v>17.8528</v>
      </c>
      <c r="C105">
        <f>$L$63-$L$59</f>
        <v>-4</v>
      </c>
      <c r="D105">
        <f>$L$63-$L$67</f>
        <v>4</v>
      </c>
      <c r="E105">
        <v>2</v>
      </c>
      <c r="F105">
        <f>$E105*C105*$B105</f>
        <v>-142.8224</v>
      </c>
      <c r="G105">
        <f>$E105*D105*$B105</f>
        <v>142.8224</v>
      </c>
    </row>
    <row r="106" spans="1:15">
      <c r="B106" t="s">
        <v>30</v>
      </c>
      <c r="E106" t="s">
        <v>31</v>
      </c>
      <c r="F106">
        <f>sum(F97:F105)</f>
        <v>-108.745132764319</v>
      </c>
      <c r="G106">
        <f>sum(G97:G105)</f>
        <v>490.389217235681</v>
      </c>
      <c r="H106" t="s">
        <v>32</v>
      </c>
      <c r="I106" t="s">
        <v>33</v>
      </c>
    </row>
    <row r="107" spans="1:15">
      <c r="A107" t="s">
        <v>34</v>
      </c>
      <c r="B107">
        <f>B105*2.3</f>
        <v>41.06144</v>
      </c>
      <c r="C107">
        <f>$L$63-$C$55</f>
        <v>15</v>
      </c>
      <c r="D107">
        <f>$L$63-$C$55</f>
        <v>15</v>
      </c>
      <c r="E107">
        <f>M63*$N$4</f>
        <v>0.33</v>
      </c>
      <c r="F107">
        <f>$E107*C107*$B107*$M$59</f>
        <v>304.881192</v>
      </c>
      <c r="G107">
        <f>$E107*D107*$B107*$M$59</f>
        <v>304.881192</v>
      </c>
      <c r="H107">
        <f>sum(F106:F107)</f>
        <v>196.136059235681</v>
      </c>
      <c r="I107">
        <f>sum(G106:G107)</f>
        <v>795.270409235681</v>
      </c>
    </row>
    <row r="109" spans="1:15">
      <c r="A109" t="s">
        <v>45</v>
      </c>
    </row>
    <row r="110" spans="1:15">
      <c r="A110" t="s">
        <v>39</v>
      </c>
      <c r="B110">
        <f>2.52*2.01-B112</f>
        <v>3.9524</v>
      </c>
      <c r="C110">
        <f>$L$66-$C$55</f>
        <v>24</v>
      </c>
      <c r="D110">
        <f>$L$66-$C$55</f>
        <v>24</v>
      </c>
      <c r="E110">
        <f>$J$3</f>
        <v>0.453601566987231</v>
      </c>
      <c r="F110">
        <f>$E110*C110*$B110</f>
        <v>43.027556000648</v>
      </c>
      <c r="G110">
        <f>$E110*D110*$B110</f>
        <v>43.027556000648</v>
      </c>
    </row>
    <row r="111" spans="1:15">
      <c r="A111" t="s">
        <v>36</v>
      </c>
      <c r="B111">
        <f>2.74*2.29</f>
        <v>6.2746</v>
      </c>
      <c r="C111">
        <f>$L$66-$C$55</f>
        <v>24</v>
      </c>
      <c r="D111">
        <f>$L$66-$C$55</f>
        <v>24</v>
      </c>
      <c r="E111">
        <f>$J$3</f>
        <v>0.453601566987231</v>
      </c>
      <c r="F111">
        <f>$E111*C111*$B111</f>
        <v>68.308041413234</v>
      </c>
      <c r="G111">
        <f>$E111*D111*$B111</f>
        <v>68.308041413234</v>
      </c>
    </row>
    <row r="112" spans="1:15">
      <c r="A112" t="s">
        <v>18</v>
      </c>
      <c r="B112">
        <f>1.04*1.07</f>
        <v>1.1128</v>
      </c>
      <c r="C112">
        <f>$L$66-$C$55</f>
        <v>24</v>
      </c>
      <c r="D112">
        <f>$L$66-$C$55</f>
        <v>24</v>
      </c>
      <c r="E112">
        <f>$J$4</f>
        <v>1.7</v>
      </c>
      <c r="F112">
        <f>$E112*C112*$B112</f>
        <v>45.40224</v>
      </c>
      <c r="G112">
        <f>$E112*D112*$B112</f>
        <v>45.40224</v>
      </c>
    </row>
    <row r="113" spans="1:15">
      <c r="A113" t="str">
        <v>Bedroom wall</v>
      </c>
      <c r="B113">
        <f>B102</f>
        <v>2.29</v>
      </c>
      <c r="C113">
        <f>$L$66-$L$63</f>
        <v>9</v>
      </c>
      <c r="D113">
        <f>$L$66-$L$67</f>
        <v>13</v>
      </c>
      <c r="E113">
        <f>$J$8</f>
        <v>1.9</v>
      </c>
      <c r="F113">
        <f>$E113*C113*$B113</f>
        <v>39.159</v>
      </c>
      <c r="G113">
        <f>$E113*D113*$B113</f>
        <v>56.563</v>
      </c>
    </row>
    <row r="114" spans="1:15">
      <c r="A114" t="s">
        <v>41</v>
      </c>
      <c r="B114">
        <f>2.4*2.29</f>
        <v>5.496</v>
      </c>
      <c r="C114">
        <f>$L$66-$L$61</f>
        <v>13</v>
      </c>
      <c r="D114">
        <f>$L$66-$L$67</f>
        <v>13</v>
      </c>
      <c r="E114">
        <f>$J$8</f>
        <v>1.9</v>
      </c>
      <c r="F114">
        <f>$E114*C114*$B114</f>
        <v>135.7512</v>
      </c>
      <c r="G114">
        <f>$E114*D114*$B114</f>
        <v>135.7512</v>
      </c>
    </row>
    <row r="115" spans="1:15">
      <c r="A115" t="s">
        <v>38</v>
      </c>
      <c r="B115">
        <f>2.54*2.74+0.23*0.9</f>
        <v>7.1666</v>
      </c>
      <c r="C115">
        <f>$L$66-$C$55</f>
        <v>24</v>
      </c>
      <c r="D115">
        <f>$L$66-$C$55</f>
        <v>24</v>
      </c>
      <c r="E115">
        <f>$J$6</f>
        <v>0.16</v>
      </c>
      <c r="F115">
        <f>$E115*C115*$B115</f>
        <v>27.519744</v>
      </c>
      <c r="G115">
        <f>$E115*D115*$B115</f>
        <v>27.519744</v>
      </c>
    </row>
    <row r="116" spans="1:15">
      <c r="A116" t="s">
        <v>44</v>
      </c>
      <c r="B116">
        <f>B115</f>
        <v>7.1666</v>
      </c>
      <c r="C116">
        <f>$L$66-$L$60</f>
        <v>9</v>
      </c>
      <c r="D116">
        <f>$L$66-$L$67</f>
        <v>13</v>
      </c>
      <c r="E116">
        <v>2</v>
      </c>
      <c r="F116">
        <f>$E116*C116*$B116</f>
        <v>128.9988</v>
      </c>
      <c r="G116">
        <f>$E116*D116*$B116</f>
        <v>186.3316</v>
      </c>
    </row>
    <row r="117" spans="1:15">
      <c r="B117" t="s">
        <v>30</v>
      </c>
      <c r="E117" t="s">
        <v>31</v>
      </c>
      <c r="F117">
        <f>sum(F110:F116)</f>
        <v>488.166581413882</v>
      </c>
      <c r="G117">
        <f>sum(G110:G116)</f>
        <v>562.903381413882</v>
      </c>
      <c r="H117" t="s">
        <v>32</v>
      </c>
      <c r="I117" t="s">
        <v>33</v>
      </c>
    </row>
    <row r="118" spans="1:15">
      <c r="A118" t="s">
        <v>34</v>
      </c>
      <c r="B118">
        <f>B116*2.3</f>
        <v>16.48318</v>
      </c>
      <c r="C118">
        <f>$L$66-$C$55</f>
        <v>24</v>
      </c>
      <c r="D118">
        <f>$L$66-$C$55</f>
        <v>24</v>
      </c>
      <c r="E118">
        <f>M66*$N$4</f>
        <v>0.66</v>
      </c>
      <c r="F118">
        <f>$E118*C118*$B118*$M$59</f>
        <v>391.6403568</v>
      </c>
      <c r="G118">
        <f>$E118*D118*$B118*$M$59</f>
        <v>391.6403568</v>
      </c>
      <c r="H118">
        <f>sum(F117:F118)</f>
        <v>879.806938213882</v>
      </c>
      <c r="I118">
        <f>sum(G117:G118)</f>
        <v>954.543738213882</v>
      </c>
    </row>
    <row r="120" spans="1:15">
      <c r="A120" t="str">
        <v>Kitchen</v>
      </c>
    </row>
    <row r="121" spans="1:15">
      <c r="A121" t="s">
        <v>39</v>
      </c>
      <c r="B121">
        <f>4.34*2.4-B123</f>
        <v>8.1476</v>
      </c>
      <c r="C121">
        <f>$L$60-$C$55</f>
        <v>15</v>
      </c>
      <c r="D121">
        <f>$L$60-$C$55</f>
        <v>15</v>
      </c>
      <c r="E121">
        <f>$J$3</f>
        <v>0.453601566987231</v>
      </c>
      <c r="F121">
        <f>$E121*C121*$B121</f>
        <v>55.4364619077775</v>
      </c>
      <c r="G121">
        <f>$E121*D121*$B121</f>
        <v>55.4364619077775</v>
      </c>
    </row>
    <row r="122" spans="1:15">
      <c r="A122" t="s">
        <v>36</v>
      </c>
      <c r="B122">
        <f>2.71*2.4</f>
        <v>6.504</v>
      </c>
      <c r="C122">
        <f>$L$60-$C$55</f>
        <v>15</v>
      </c>
      <c r="D122">
        <f>$L$60-$C$55</f>
        <v>15</v>
      </c>
      <c r="E122">
        <f>$J$3</f>
        <v>0.453601566987231</v>
      </c>
      <c r="F122">
        <f>$E122*C122*$B122</f>
        <v>44.2533688752743</v>
      </c>
      <c r="G122">
        <f>$E122*D122*$B122</f>
        <v>44.2533688752743</v>
      </c>
    </row>
    <row r="123" spans="1:15">
      <c r="A123" t="s">
        <v>18</v>
      </c>
      <c r="B123">
        <f>2.12*1.07</f>
        <v>2.2684</v>
      </c>
      <c r="C123">
        <f>$L$60-$C$55</f>
        <v>15</v>
      </c>
      <c r="D123">
        <f>$L$60-$C$55</f>
        <v>15</v>
      </c>
      <c r="E123">
        <f>$J$4</f>
        <v>1.7</v>
      </c>
      <c r="F123">
        <f>$E123*C123*$B123</f>
        <v>57.8442</v>
      </c>
      <c r="G123">
        <f>$E123*D123*$B123</f>
        <v>57.8442</v>
      </c>
    </row>
    <row r="124" spans="1:15">
      <c r="A124" t="s">
        <v>46</v>
      </c>
      <c r="B124">
        <f>3.59*2.4</f>
        <v>8.616</v>
      </c>
      <c r="C124">
        <f>$L$60-$L$59</f>
        <v>-4</v>
      </c>
      <c r="D124">
        <f>$L$60-$L$67</f>
        <v>4</v>
      </c>
      <c r="E124">
        <f>$J$8</f>
        <v>1.9</v>
      </c>
      <c r="F124">
        <f>$E124*C124*$B124</f>
        <v>-65.4816</v>
      </c>
      <c r="G124">
        <f>$E124*D124*$B124</f>
        <v>65.4816</v>
      </c>
    </row>
    <row r="125" spans="1:15">
      <c r="A125" t="s">
        <v>41</v>
      </c>
      <c r="B125">
        <f>2.71*2.4</f>
        <v>6.504</v>
      </c>
      <c r="C125">
        <f>$L$60-$L$61</f>
        <v>4</v>
      </c>
      <c r="D125">
        <f>$L$60-$L$67</f>
        <v>4</v>
      </c>
      <c r="E125">
        <f>$J$8</f>
        <v>1.9</v>
      </c>
      <c r="F125">
        <f>$E125*C125*$B125</f>
        <v>49.4304</v>
      </c>
      <c r="G125">
        <f>$E125*D125*$B125</f>
        <v>49.4304</v>
      </c>
    </row>
    <row r="126" spans="1:15">
      <c r="A126" t="s">
        <v>38</v>
      </c>
      <c r="B126">
        <f>2.71*3.59+0.66*0.82</f>
        <v>10.2701</v>
      </c>
      <c r="C126">
        <f>$L$60-$L$66</f>
        <v>-9</v>
      </c>
      <c r="D126">
        <f>$L$60-$L$67</f>
        <v>4</v>
      </c>
      <c r="E126">
        <f>$J$11</f>
        <v>2</v>
      </c>
      <c r="F126">
        <f>$E126*C126*$B126</f>
        <v>-184.8618</v>
      </c>
      <c r="G126">
        <f>$E126*D126*$B126</f>
        <v>82.1608</v>
      </c>
    </row>
    <row r="127" spans="1:15">
      <c r="A127" t="s">
        <v>44</v>
      </c>
      <c r="B127">
        <f>B126</f>
        <v>10.2701</v>
      </c>
      <c r="C127">
        <f>$L$60-$C$54</f>
        <v>3</v>
      </c>
      <c r="D127">
        <f>$L$60-$C$54</f>
        <v>3</v>
      </c>
      <c r="E127">
        <f>$J$7</f>
        <v>1.2</v>
      </c>
      <c r="F127">
        <f>$E127*C127*$B127</f>
        <v>36.97236</v>
      </c>
      <c r="G127">
        <f>$E127*D127*$B127</f>
        <v>36.97236</v>
      </c>
    </row>
    <row r="128" spans="1:15">
      <c r="B128" t="s">
        <v>30</v>
      </c>
      <c r="E128" t="s">
        <v>31</v>
      </c>
      <c r="F128">
        <f>sum(F121:F127)</f>
        <v>-6.4066092169482</v>
      </c>
      <c r="G128">
        <f>sum(G121:G127)</f>
        <v>391.579190783052</v>
      </c>
      <c r="H128" t="s">
        <v>32</v>
      </c>
      <c r="I128" t="s">
        <v>33</v>
      </c>
    </row>
    <row r="129" spans="1:15">
      <c r="A129" t="s">
        <v>34</v>
      </c>
      <c r="B129">
        <f>B127*2.4</f>
        <v>24.64824</v>
      </c>
      <c r="C129">
        <f>$L$60-$C$55</f>
        <v>15</v>
      </c>
      <c r="D129">
        <f>$L$60-$C$55</f>
        <v>15</v>
      </c>
      <c r="E129">
        <f>M60*$N$4</f>
        <v>0.66</v>
      </c>
      <c r="F129">
        <f>$E129*C129*$B129*$M$59</f>
        <v>366.026364</v>
      </c>
      <c r="G129">
        <f>$E129*D129*$B129*$M$59</f>
        <v>366.026364</v>
      </c>
      <c r="H129">
        <f>sum(F128:F129)</f>
        <v>359.619754783052</v>
      </c>
      <c r="I129">
        <f>sum(G128:G129)</f>
        <v>757.605554783052</v>
      </c>
    </row>
    <row r="131" spans="1:15">
      <c r="A131" t="str">
        <v>Hall/Bog</v>
      </c>
    </row>
    <row r="132" spans="1:15">
      <c r="A132" t="s">
        <v>39</v>
      </c>
      <c r="B132">
        <f>4.54*2.4+2.45*2.1-B134-B135</f>
        <v>13.8154</v>
      </c>
      <c r="C132">
        <f>$L$61-$C$55</f>
        <v>11</v>
      </c>
      <c r="D132">
        <f>$L$61-$C$55</f>
        <v>11</v>
      </c>
      <c r="E132">
        <f>$J$3</f>
        <v>0.453601566987231</v>
      </c>
      <c r="F132">
        <f>$E132*C132*$B132</f>
        <v>68.9335579741094</v>
      </c>
      <c r="G132">
        <f>$E132*D132*$B132</f>
        <v>68.9335579741094</v>
      </c>
    </row>
    <row r="133" spans="1:15">
      <c r="A133" t="s">
        <v>43</v>
      </c>
      <c r="B133">
        <f>2.71*2.4-B136</f>
        <v>4.5456</v>
      </c>
      <c r="C133">
        <f>$L$61-$C$55</f>
        <v>11</v>
      </c>
      <c r="D133">
        <f>$L$61-$C$55</f>
        <v>11</v>
      </c>
      <c r="E133">
        <f>$J$3</f>
        <v>0.453601566987231</v>
      </c>
      <c r="F133">
        <f>$E133*C133*$B133</f>
        <v>22.6808041118687</v>
      </c>
      <c r="G133">
        <f>$E133*D133*$B133</f>
        <v>22.6808041118687</v>
      </c>
    </row>
    <row r="134" spans="1:15">
      <c r="A134" t="s">
        <v>18</v>
      </c>
      <c r="B134">
        <f>1.04*1.07</f>
        <v>1.1128</v>
      </c>
      <c r="C134">
        <f>$L$61-$C$55</f>
        <v>11</v>
      </c>
      <c r="D134">
        <f>$L$61-$C$55</f>
        <v>11</v>
      </c>
      <c r="E134">
        <f>$J$4</f>
        <v>1.7</v>
      </c>
      <c r="F134">
        <f>$E134*C134*$B134</f>
        <v>20.80936</v>
      </c>
      <c r="G134">
        <f>$E134*D134*$B134</f>
        <v>20.80936</v>
      </c>
    </row>
    <row r="135" spans="1:15">
      <c r="A135" t="s">
        <v>18</v>
      </c>
      <c r="B135">
        <f>1.04*1.07</f>
        <v>1.1128</v>
      </c>
      <c r="C135">
        <f>$L$61-$C$55</f>
        <v>11</v>
      </c>
      <c r="D135">
        <f>$L$61-$C$55</f>
        <v>11</v>
      </c>
      <c r="E135">
        <f>$J$4</f>
        <v>1.7</v>
      </c>
      <c r="F135">
        <f>$E135*C135*$B135</f>
        <v>20.80936</v>
      </c>
      <c r="G135">
        <f>$E135*D135*$B135</f>
        <v>20.80936</v>
      </c>
    </row>
    <row r="136" spans="1:15">
      <c r="A136" t="str">
        <v>Ext Door</v>
      </c>
      <c r="B136">
        <f>0.96*2.04</f>
        <v>1.9584</v>
      </c>
      <c r="C136">
        <f>$L$61-$C$55</f>
        <v>11</v>
      </c>
      <c r="D136">
        <f>$L$61-$C$55</f>
        <v>11</v>
      </c>
      <c r="E136">
        <f>$J$5</f>
        <v>4</v>
      </c>
      <c r="F136">
        <f>$E136*C136*$B136</f>
        <v>86.1696</v>
      </c>
      <c r="G136">
        <f>$E136*D136*$B136</f>
        <v>86.1696</v>
      </c>
    </row>
    <row r="137" spans="1:15">
      <c r="A137" t="s">
        <v>46</v>
      </c>
      <c r="B137">
        <f>4.52*2.4</f>
        <v>10.848</v>
      </c>
      <c r="C137">
        <f>$L$61-$L$59</f>
        <v>-8</v>
      </c>
      <c r="D137">
        <f>$L$61-$L$67</f>
        <v>0</v>
      </c>
      <c r="E137">
        <f>$J$8</f>
        <v>1.9</v>
      </c>
      <c r="F137">
        <f>$E137*C137*$B137</f>
        <v>-164.8896</v>
      </c>
      <c r="G137">
        <f>$E137*D137*$B137</f>
        <v>0</v>
      </c>
    </row>
    <row r="138" spans="1:15">
      <c r="A138" t="str">
        <v>Kitchen wall</v>
      </c>
      <c r="B138">
        <f>2.23*2.4</f>
        <v>5.352</v>
      </c>
      <c r="C138">
        <f>$L$61-$L$60</f>
        <v>-4</v>
      </c>
      <c r="D138">
        <f>$L$61-$L$67</f>
        <v>0</v>
      </c>
      <c r="E138">
        <f>$J$8</f>
        <v>1.9</v>
      </c>
      <c r="F138">
        <f>$E138*C138*$B138</f>
        <v>-40.6752</v>
      </c>
      <c r="G138">
        <f>$E138*D138*$B138</f>
        <v>0</v>
      </c>
    </row>
    <row r="139" spans="1:15">
      <c r="A139" t="str">
        <v>Ceiling(t-office)</v>
      </c>
      <c r="B139">
        <f>2.71*2.6</f>
        <v>7.046</v>
      </c>
      <c r="C139">
        <f>$L$61-$L$65</f>
        <v>-8</v>
      </c>
      <c r="D139">
        <f>$L$61-$L$67</f>
        <v>0</v>
      </c>
      <c r="E139">
        <f>$J$11</f>
        <v>2</v>
      </c>
      <c r="F139">
        <f>$E139*C139*$B139</f>
        <v>-112.736</v>
      </c>
      <c r="G139">
        <f>$E139*D139*$B139</f>
        <v>0</v>
      </c>
    </row>
    <row r="140" spans="1:15">
      <c r="A140" t="str">
        <v>Ceiling(Loft)</v>
      </c>
      <c r="B140">
        <f>2.68*2.27</f>
        <v>6.0836</v>
      </c>
      <c r="C140">
        <f>$L$61-$C$55</f>
        <v>11</v>
      </c>
      <c r="D140">
        <f>$L$61-$C$55</f>
        <v>11</v>
      </c>
      <c r="E140">
        <f>$J$6</f>
        <v>0.16</v>
      </c>
      <c r="F140">
        <f>$E140*C140*$B140</f>
        <v>10.707136</v>
      </c>
      <c r="G140">
        <f>$E140*D140*$B140</f>
        <v>10.707136</v>
      </c>
    </row>
    <row r="141" spans="1:15">
      <c r="A141" t="s">
        <v>44</v>
      </c>
      <c r="B141">
        <f>4.52*2.25</f>
        <v>10.17</v>
      </c>
      <c r="C141">
        <f>$L$61-$C$54</f>
        <v>-1</v>
      </c>
      <c r="D141">
        <f>$L$61-$C$54</f>
        <v>-1</v>
      </c>
      <c r="E141">
        <f>$J$7</f>
        <v>1.2</v>
      </c>
      <c r="F141">
        <f>$E141*C141*$B141</f>
        <v>-12.204</v>
      </c>
      <c r="G141">
        <f>$E141*D141*$B141</f>
        <v>-12.204</v>
      </c>
    </row>
    <row r="142" spans="1:15">
      <c r="B142" t="s">
        <v>30</v>
      </c>
      <c r="E142" t="s">
        <v>31</v>
      </c>
      <c r="F142">
        <f>sum(F132:F141)</f>
        <v>-100.394981914022</v>
      </c>
      <c r="G142">
        <f>sum(G132:G141)</f>
        <v>217.905818085978</v>
      </c>
      <c r="H142" t="s">
        <v>32</v>
      </c>
      <c r="I142" t="s">
        <v>33</v>
      </c>
    </row>
    <row r="143" spans="1:15">
      <c r="A143" t="s">
        <v>34</v>
      </c>
      <c r="B143">
        <f>B141*2.4+(B139+B140)*2.29</f>
        <v>54.474784</v>
      </c>
      <c r="C143">
        <f>$L$61-$C$55</f>
        <v>11</v>
      </c>
      <c r="D143">
        <f>$L$61-$C$55</f>
        <v>11</v>
      </c>
      <c r="E143">
        <f>M61*$N$4</f>
        <v>0.66</v>
      </c>
      <c r="F143">
        <f>$E143*C143*$B143*$M$59</f>
        <v>593.23039776</v>
      </c>
      <c r="G143">
        <f>$E143*D143*$B143*$M$59</f>
        <v>593.23039776</v>
      </c>
      <c r="H143">
        <f>sum(F142:F143)</f>
        <v>492.835415845978</v>
      </c>
      <c r="I143">
        <f>sum(G142:G143)</f>
        <v>811.136215845978</v>
      </c>
    </row>
    <row r="152" spans="1:15">
      <c r="A152" t="str">
        <v>Radiators</v>
      </c>
    </row>
    <row r="153" spans="1:15">
      <c r="A153" t="str">
        <v>Lounge 1</v>
      </c>
      <c r="B153" t="str">
        <v>140x45</v>
      </c>
      <c r="C153" t="s">
        <v>47</v>
      </c>
    </row>
    <row r="154" spans="1:15">
      <c r="A154" t="str">
        <v>Lounge 2</v>
      </c>
      <c r="B154" t="str">
        <v>120x60</v>
      </c>
      <c r="C154" t="s">
        <v>47</v>
      </c>
    </row>
    <row r="155" spans="1:15">
      <c r="A155" t="str">
        <v>Hall</v>
      </c>
      <c r="B155" t="str">
        <v>127x71</v>
      </c>
      <c r="C155" t="str">
        <v>double, unfinned</v>
      </c>
    </row>
    <row r="156" spans="1:15">
      <c r="A156" t="str">
        <v>Bog</v>
      </c>
      <c r="B156" t="str">
        <v>50x45</v>
      </c>
      <c r="C156" t="s">
        <v>48</v>
      </c>
    </row>
    <row r="157" spans="1:15">
      <c r="A157" t="s">
        <v>42</v>
      </c>
      <c r="B157" t="str">
        <v>176x59</v>
      </c>
      <c r="C157" t="s">
        <v>48</v>
      </c>
    </row>
    <row r="158" spans="1:15">
      <c r="A158" t="s">
        <v>45</v>
      </c>
      <c r="B158" t="str">
        <v>60x60</v>
      </c>
      <c r="C158" t="s">
        <v>48</v>
      </c>
    </row>
    <row r="159" spans="1:15">
      <c r="A159" t="str">
        <v>Wookoffice</v>
      </c>
      <c r="B159" t="str">
        <v>128x59</v>
      </c>
      <c r="C159" t="str">
        <v>sinlge, unfinned</v>
      </c>
    </row>
    <row r="160" spans="1:15">
      <c r="A160" t="str">
        <v>Tessoffice</v>
      </c>
      <c r="B160" t="str">
        <v>96x59</v>
      </c>
      <c r="C160" t="str">
        <v>single, unfinned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" bottom="1" header="0.5906" footer="0.3937"/>
  <pageSetup/>
</worksheet>
</file>

<file path=xl/worksheets/sheet4.xml><?xml version="1.0" encoding="utf-8"?>
<worksheet xmlns="http://schemas.openxmlformats.org/spreadsheetml/2006/main" xmlns:r="http://schemas.openxmlformats.org/officeDocument/2006/relationships">
  <dimension ref="A1:N25"/>
  <sheetViews>
    <sheetView topLeftCell="C1" workbookViewId="0">
      <selection activeCell="A1" sqref="A1"/>
    </sheetView>
  </sheetViews>
  <sheetFormatPr defaultRowHeight="12.75"/>
  <cols>
    <col min="1" max="1" width="27.0079" customWidth="1"/>
    <col min="2" max="2" width="7.570974" customWidth="1"/>
    <col min="3" max="3" width="12.28498" customWidth="1"/>
    <col min="4" max="14" width="9.142308"/>
  </cols>
  <sheetData>
    <row r="1" spans="1:14">
      <c r="A1" t="str">
        <v>Tank losses</v>
      </c>
      <c r="C1" t="str">
        <v>heat loss coefficient for storage tank:</v>
      </c>
      <c r="G1">
        <v>0.1429</v>
      </c>
      <c r="H1" t="str">
        <v>Btu/hr*ft2*F</v>
      </c>
    </row>
    <row r="3" spans="1:14">
      <c r="A3" t="s">
        <v>49</v>
      </c>
      <c r="C3" t="s">
        <v>50</v>
      </c>
      <c r="D3" t="s">
        <v>50</v>
      </c>
      <c r="E3" t="s">
        <v>50</v>
      </c>
      <c r="F3" t="s">
        <v>50</v>
      </c>
      <c r="G3" t="s">
        <v>50</v>
      </c>
      <c r="H3" t="s">
        <v>50</v>
      </c>
      <c r="I3" t="s">
        <v>50</v>
      </c>
      <c r="J3" t="s">
        <v>50</v>
      </c>
      <c r="K3" t="s">
        <v>50</v>
      </c>
      <c r="L3" t="s">
        <v>50</v>
      </c>
    </row>
    <row r="4" spans="1:14">
      <c r="A4" t="str">
        <v>Tank volume (l)</v>
      </c>
      <c r="C4">
        <v>120</v>
      </c>
      <c r="D4">
        <v>135</v>
      </c>
      <c r="E4">
        <v>172</v>
      </c>
      <c r="F4">
        <v>210</v>
      </c>
      <c r="G4">
        <v>144</v>
      </c>
      <c r="H4">
        <v>168</v>
      </c>
      <c r="I4">
        <v>216</v>
      </c>
      <c r="J4">
        <v>259</v>
      </c>
      <c r="K4">
        <v>320</v>
      </c>
      <c r="L4">
        <v>450</v>
      </c>
      <c r="N4"/>
    </row>
    <row r="5" spans="1:14">
      <c r="A5" t="str">
        <v>Tank height (mm)</v>
      </c>
      <c r="C5">
        <v>1050</v>
      </c>
      <c r="D5">
        <v>1200</v>
      </c>
      <c r="E5">
        <v>1500</v>
      </c>
      <c r="F5">
        <v>1800</v>
      </c>
      <c r="G5">
        <v>1050</v>
      </c>
      <c r="H5">
        <v>1200</v>
      </c>
      <c r="I5">
        <v>1500</v>
      </c>
      <c r="J5">
        <v>1800</v>
      </c>
      <c r="K5">
        <v>1800</v>
      </c>
      <c r="L5">
        <v>1800</v>
      </c>
    </row>
    <row r="6" spans="1:14">
      <c r="A6" t="str">
        <v>Tank Diameter (mm)</v>
      </c>
      <c r="C6">
        <v>400</v>
      </c>
      <c r="D6">
        <v>400</v>
      </c>
      <c r="E6">
        <v>400</v>
      </c>
      <c r="F6">
        <v>400</v>
      </c>
      <c r="G6">
        <v>450</v>
      </c>
      <c r="H6">
        <v>450</v>
      </c>
      <c r="I6">
        <v>450</v>
      </c>
      <c r="J6">
        <v>450</v>
      </c>
      <c r="K6">
        <v>500</v>
      </c>
      <c r="L6">
        <v>550</v>
      </c>
    </row>
    <row r="7" spans="1:14">
      <c r="A7" t="str">
        <v>Insulation thickness (mm)</v>
      </c>
      <c r="C7">
        <v>75</v>
      </c>
      <c r="D7">
        <v>75</v>
      </c>
      <c r="E7">
        <v>75</v>
      </c>
      <c r="F7">
        <v>75</v>
      </c>
      <c r="G7">
        <v>75</v>
      </c>
      <c r="H7">
        <v>75</v>
      </c>
      <c r="I7">
        <v>75</v>
      </c>
      <c r="J7">
        <v>75</v>
      </c>
      <c r="K7">
        <v>75</v>
      </c>
      <c r="L7">
        <v>75</v>
      </c>
    </row>
    <row r="8" spans="1:14">
      <c r="A8" t="str">
        <v>Surface area (m2)</v>
      </c>
      <c r="C8">
        <f>(C5*C6*3.141+(C6/2)^2*3.141*2)/1000000</f>
        <v>1.5705</v>
      </c>
      <c r="D8">
        <f>(D5*D6*3.141+(D6/2)^2*3.141*2)/1000000</f>
        <v>1.75896</v>
      </c>
      <c r="E8">
        <f>(E5*E6*3.141+(E6/2)^2*3.141*2)/1000000</f>
        <v>2.13588</v>
      </c>
      <c r="F8">
        <f>(F5*F6*3.141+(F6/2)^2*3.141*2)/1000000</f>
        <v>2.5128</v>
      </c>
      <c r="G8">
        <f>(G5*G6*3.141+(G6/2)^2*3.141*2)/1000000</f>
        <v>1.80214875</v>
      </c>
      <c r="H8">
        <f>(H5*H6*3.141+(H6/2)^2*3.141*2)/1000000</f>
        <v>2.01416625</v>
      </c>
      <c r="I8">
        <f>(I5*I6*3.141+(I6/2)^2*3.141*2)/1000000</f>
        <v>2.43820125</v>
      </c>
      <c r="J8">
        <f>(J5*J6*3.141+(J6/2)^2*3.141*2)/1000000</f>
        <v>2.86223625</v>
      </c>
      <c r="K8">
        <f>(K5*K6*3.141+(K6/2)^2*3.141*2)/1000000</f>
        <v>3.219525</v>
      </c>
      <c r="L8">
        <f>(L5*L6*3.141+(L6/2)^2*3.141*2)/1000000</f>
        <v>3.58466625</v>
      </c>
    </row>
    <row r="9" spans="1:14">
      <c r="A9" t="str">
        <v>k-value (W/mK)</v>
      </c>
      <c r="C9">
        <v>0.02</v>
      </c>
      <c r="D9">
        <v>0.02</v>
      </c>
      <c r="E9">
        <v>0.02</v>
      </c>
      <c r="F9">
        <v>0.02</v>
      </c>
      <c r="G9">
        <v>0.02</v>
      </c>
      <c r="H9">
        <v>0.02</v>
      </c>
      <c r="I9">
        <v>0.02</v>
      </c>
      <c r="J9">
        <v>0.02</v>
      </c>
      <c r="K9">
        <v>0.02</v>
      </c>
      <c r="L9">
        <v>0.02</v>
      </c>
    </row>
    <row r="10" spans="1:14">
      <c r="A10" t="str">
        <v>R-value (K.m2/W)</v>
      </c>
      <c r="C10">
        <f>C7/1000/C9</f>
        <v>3.75</v>
      </c>
      <c r="D10">
        <f>D7/1000/D9</f>
        <v>3.75</v>
      </c>
      <c r="E10">
        <f>E7/1000/E9</f>
        <v>3.75</v>
      </c>
      <c r="F10">
        <f>F7/1000/F9</f>
        <v>3.75</v>
      </c>
      <c r="G10">
        <f>G7/1000/G9</f>
        <v>3.75</v>
      </c>
      <c r="H10">
        <f>H7/1000/H9</f>
        <v>3.75</v>
      </c>
      <c r="I10">
        <f>I7/1000/I9</f>
        <v>3.75</v>
      </c>
      <c r="J10">
        <f>J7/1000/J9</f>
        <v>3.75</v>
      </c>
      <c r="K10">
        <f>K7/1000/K9</f>
        <v>3.75</v>
      </c>
      <c r="L10">
        <f>L7/1000/L9</f>
        <v>3.75</v>
      </c>
    </row>
    <row r="11" spans="1:14">
      <c r="A11" t="str">
        <v>U-value (W/K.m2)</v>
      </c>
      <c r="C11">
        <f>1/C10</f>
        <v>0.266666666666667</v>
      </c>
      <c r="D11">
        <f>1/D10</f>
        <v>0.266666666666667</v>
      </c>
      <c r="E11">
        <f>1/E10</f>
        <v>0.266666666666667</v>
      </c>
      <c r="F11">
        <f>1/F10</f>
        <v>0.266666666666667</v>
      </c>
      <c r="G11">
        <f>1/G10</f>
        <v>0.266666666666667</v>
      </c>
      <c r="H11">
        <f>1/H10</f>
        <v>0.266666666666667</v>
      </c>
      <c r="I11">
        <f>1/I10</f>
        <v>0.266666666666667</v>
      </c>
      <c r="J11">
        <f>1/J10</f>
        <v>0.266666666666667</v>
      </c>
      <c r="K11">
        <f>1/K10</f>
        <v>0.266666666666667</v>
      </c>
      <c r="L11">
        <f>1/L10</f>
        <v>0.266666666666667</v>
      </c>
    </row>
    <row r="12" spans="1:14">
      <c r="A12" t="str">
        <v>Heat loss (W) @ temp diff</v>
      </c>
      <c r="B12">
        <v>90</v>
      </c>
      <c r="C12">
        <f>C$11*$B12*C$8</f>
        <v>37.692</v>
      </c>
    </row>
    <row r="13" spans="1:14">
      <c r="B13">
        <v>80</v>
      </c>
      <c r="C13">
        <f>C$11*$B13*C$8</f>
        <v>33.504</v>
      </c>
      <c r="D13">
        <f>D$11*$B13*D$8</f>
        <v>37.52448</v>
      </c>
      <c r="E13">
        <f>E$11*$B13*E$8</f>
        <v>45.56544</v>
      </c>
      <c r="F13">
        <f>F$11*$B13*F$8</f>
        <v>53.6064</v>
      </c>
      <c r="G13">
        <f>G$11*$B13*G$8</f>
        <v>38.44584</v>
      </c>
      <c r="H13">
        <f>H$11*$B13*H$8</f>
        <v>42.96888</v>
      </c>
      <c r="I13">
        <f>I$11*$B13*I$8</f>
        <v>52.01496</v>
      </c>
      <c r="J13">
        <f>J$11*$B13*J$8</f>
        <v>61.06104</v>
      </c>
      <c r="K13">
        <f>K$11*$B13*K$8</f>
        <v>68.6832</v>
      </c>
      <c r="L13">
        <f>L$11*$B13*L$8</f>
        <v>76.47288</v>
      </c>
    </row>
    <row r="14" spans="1:14">
      <c r="B14">
        <v>70</v>
      </c>
      <c r="C14">
        <f>C$11*$B14*C$8</f>
        <v>29.316</v>
      </c>
      <c r="D14">
        <f>D$11*$B14*D$8</f>
        <v>32.83392</v>
      </c>
      <c r="E14">
        <f>E$11*$B14*E$8</f>
        <v>39.86976</v>
      </c>
      <c r="F14">
        <f>F$11*$B14*F$8</f>
        <v>46.9056</v>
      </c>
      <c r="G14">
        <f>G$11*$B14*G$8</f>
        <v>33.64011</v>
      </c>
      <c r="H14">
        <f>H$11*$B14*H$8</f>
        <v>37.59777</v>
      </c>
      <c r="I14">
        <f>I$11*$B14*I$8</f>
        <v>45.51309</v>
      </c>
      <c r="J14">
        <f>J$11*$B14*J$8</f>
        <v>53.42841</v>
      </c>
      <c r="K14">
        <f>K$11*$B14*K$8</f>
        <v>60.0978</v>
      </c>
      <c r="L14">
        <f>L$11*$B14*L$8</f>
        <v>66.91377</v>
      </c>
    </row>
    <row r="15" spans="1:14">
      <c r="B15">
        <v>60</v>
      </c>
      <c r="C15">
        <f>C$11*$B15*C$8</f>
        <v>25.128</v>
      </c>
      <c r="D15">
        <f>D$11*$B15*D$8</f>
        <v>28.14336</v>
      </c>
      <c r="E15">
        <f>E$11*$B15*E$8</f>
        <v>34.17408</v>
      </c>
      <c r="F15">
        <f>F$11*$B15*F$8</f>
        <v>40.2048</v>
      </c>
      <c r="G15">
        <f>G$11*$B15*G$8</f>
        <v>28.83438</v>
      </c>
      <c r="H15">
        <f>H$11*$B15*H$8</f>
        <v>32.22666</v>
      </c>
      <c r="I15">
        <f>I$11*$B15*I$8</f>
        <v>39.01122</v>
      </c>
      <c r="J15">
        <f>J$11*$B15*J$8</f>
        <v>45.79578</v>
      </c>
      <c r="K15">
        <f>K$11*$B15*K$8</f>
        <v>51.5124</v>
      </c>
      <c r="L15">
        <f>L$11*$B15*L$8</f>
        <v>57.35466</v>
      </c>
    </row>
    <row r="16" spans="1:14">
      <c r="B16">
        <v>50</v>
      </c>
      <c r="C16">
        <f>C$11*$B16*C$8</f>
        <v>20.94</v>
      </c>
      <c r="D16">
        <f>D$11*$B16*D$8</f>
        <v>23.4528</v>
      </c>
      <c r="E16">
        <f>E$11*$B16*E$8</f>
        <v>28.4784</v>
      </c>
      <c r="F16">
        <f>F$11*$B16*F$8</f>
        <v>33.504</v>
      </c>
      <c r="G16">
        <f>G$11*$B16*G$8</f>
        <v>24.02865</v>
      </c>
      <c r="H16">
        <f>H$11*$B16*H$8</f>
        <v>26.85555</v>
      </c>
      <c r="I16">
        <f>I$11*$B16*I$8</f>
        <v>32.50935</v>
      </c>
      <c r="J16">
        <f>J$11*$B16*J$8</f>
        <v>38.16315</v>
      </c>
      <c r="K16">
        <f>K$11*$B16*K$8</f>
        <v>42.927</v>
      </c>
      <c r="L16">
        <f>L$11*$B16*L$8</f>
        <v>47.79555</v>
      </c>
    </row>
    <row r="17" spans="1:14">
      <c r="B17">
        <v>40</v>
      </c>
      <c r="C17">
        <f>C$11*$B17*C$8</f>
        <v>16.752</v>
      </c>
      <c r="D17">
        <f>D$11*$B17*D$8</f>
        <v>18.76224</v>
      </c>
      <c r="E17">
        <f>E$11*$B17*E$8</f>
        <v>22.78272</v>
      </c>
      <c r="F17">
        <f>F$11*$B17*F$8</f>
        <v>26.8032</v>
      </c>
      <c r="G17">
        <f>G$11*$B17*G$8</f>
        <v>19.22292</v>
      </c>
      <c r="H17">
        <f>H$11*$B17*H$8</f>
        <v>21.48444</v>
      </c>
      <c r="I17">
        <f>I$11*$B17*I$8</f>
        <v>26.00748</v>
      </c>
      <c r="J17">
        <f>J$11*$B17*J$8</f>
        <v>30.53052</v>
      </c>
      <c r="K17">
        <f>K$11*$B17*K$8</f>
        <v>34.3416</v>
      </c>
      <c r="L17">
        <f>L$11*$B17*L$8</f>
        <v>38.23644</v>
      </c>
    </row>
    <row r="18" spans="1:14">
      <c r="B18">
        <v>30</v>
      </c>
      <c r="C18">
        <f>C$11*$B18*C$8</f>
        <v>12.564</v>
      </c>
      <c r="D18">
        <f>D$11*$B18*D$8</f>
        <v>14.07168</v>
      </c>
      <c r="E18">
        <f>E$11*$B18*E$8</f>
        <v>17.08704</v>
      </c>
      <c r="F18">
        <f>F$11*$B18*F$8</f>
        <v>20.1024</v>
      </c>
      <c r="G18">
        <f>G$11*$B18*G$8</f>
        <v>14.41719</v>
      </c>
      <c r="H18">
        <f>H$11*$B18*H$8</f>
        <v>16.11333</v>
      </c>
      <c r="I18">
        <f>I$11*$B18*I$8</f>
        <v>19.50561</v>
      </c>
      <c r="J18">
        <f>J$11*$B18*J$8</f>
        <v>22.89789</v>
      </c>
      <c r="K18">
        <f>K$11*$B18*K$8</f>
        <v>25.7562</v>
      </c>
      <c r="L18">
        <f>L$11*$B18*L$8</f>
        <v>28.67733</v>
      </c>
    </row>
    <row r="19" spans="1:14">
      <c r="B19">
        <v>20</v>
      </c>
      <c r="C19">
        <f>C$11*$B19*C$8</f>
        <v>8.376</v>
      </c>
      <c r="D19">
        <f>D$11*$B19*D$8</f>
        <v>9.38112</v>
      </c>
      <c r="E19">
        <f>E$11*$B19*E$8</f>
        <v>11.39136</v>
      </c>
      <c r="F19">
        <f>F$11*$B19*F$8</f>
        <v>13.4016</v>
      </c>
      <c r="G19">
        <f>G$11*$B19*G$8</f>
        <v>9.61146</v>
      </c>
      <c r="H19">
        <f>H$11*$B19*H$8</f>
        <v>10.74222</v>
      </c>
      <c r="I19">
        <f>I$11*$B19*I$8</f>
        <v>13.00374</v>
      </c>
      <c r="J19">
        <f>J$11*$B19*J$8</f>
        <v>15.26526</v>
      </c>
      <c r="K19">
        <f>K$11*$B19*K$8</f>
        <v>17.1708</v>
      </c>
      <c r="L19">
        <f>L$11*$B19*L$8</f>
        <v>19.11822</v>
      </c>
    </row>
    <row r="20" spans="1:14">
      <c r="B20">
        <v>10</v>
      </c>
      <c r="C20">
        <f>C$11*$B20*C$8</f>
        <v>4.188</v>
      </c>
      <c r="D20">
        <f>D$11*$B20*D$8</f>
        <v>4.69056</v>
      </c>
      <c r="E20">
        <f>E$11*$B20*E$8</f>
        <v>5.69568</v>
      </c>
      <c r="F20">
        <f>F$11*$B20*F$8</f>
        <v>6.7008</v>
      </c>
      <c r="G20">
        <f>G$11*$B20*G$8</f>
        <v>4.80573</v>
      </c>
      <c r="H20">
        <f>H$11*$B20*H$8</f>
        <v>5.37111</v>
      </c>
      <c r="I20">
        <f>I$11*$B20*I$8</f>
        <v>6.50187</v>
      </c>
      <c r="J20">
        <f>J$11*$B20*J$8</f>
        <v>7.63263</v>
      </c>
      <c r="K20">
        <f>K$11*$B20*K$8</f>
        <v>8.5854</v>
      </c>
      <c r="L20">
        <f>L$11*$B20*L$8</f>
        <v>9.55911</v>
      </c>
    </row>
    <row r="22" spans="1:14">
      <c r="A22" t="str">
        <v>Heatloss (kWh) @50Cdiff,hrs</v>
      </c>
      <c r="B22">
        <v>12</v>
      </c>
      <c r="C22">
        <f>C$16*$B22/1000</f>
        <v>0.25128</v>
      </c>
      <c r="D22">
        <f>D$16*$B22/1000</f>
        <v>0.2814336</v>
      </c>
      <c r="E22">
        <f>E$16*$B22/1000</f>
        <v>0.3417408</v>
      </c>
      <c r="F22">
        <f>F$16*$B22/1000</f>
        <v>0.402048</v>
      </c>
      <c r="G22">
        <f>G$16*$B22/1000</f>
        <v>0.2883438</v>
      </c>
      <c r="H22">
        <f>H$16*$B22/1000</f>
        <v>0.3222666</v>
      </c>
      <c r="I22">
        <f>I$16*$B22/1000</f>
        <v>0.3901122</v>
      </c>
      <c r="J22">
        <f>J$16*$B22/1000</f>
        <v>0.4579578</v>
      </c>
      <c r="K22">
        <f>K$16*$B22/1000</f>
        <v>0.515124</v>
      </c>
      <c r="L22">
        <f>L$16*$B22/1000</f>
        <v>0.5735466</v>
      </c>
    </row>
    <row r="23" spans="1:14">
      <c r="B23">
        <v>24</v>
      </c>
      <c r="C23">
        <f>C$16*$B23/1000</f>
        <v>0.50256</v>
      </c>
      <c r="D23">
        <f>D$16*$B23/1000</f>
        <v>0.5628672</v>
      </c>
      <c r="E23">
        <f>E$16*$B23/1000</f>
        <v>0.6834816</v>
      </c>
      <c r="F23">
        <f>F$16*$B23/1000</f>
        <v>0.804096</v>
      </c>
      <c r="G23">
        <f>G$16*$B23/1000</f>
        <v>0.5766876</v>
      </c>
      <c r="H23">
        <f>H$16*$B23/1000</f>
        <v>0.6445332</v>
      </c>
      <c r="I23">
        <f>I$16*$B23/1000</f>
        <v>0.7802244</v>
      </c>
      <c r="J23">
        <f>J$16*$B23/1000</f>
        <v>0.9159156</v>
      </c>
      <c r="K23">
        <f>K$16*$B23/1000</f>
        <v>1.030248</v>
      </c>
      <c r="L23">
        <f>L$16*$B23/1000</f>
        <v>1.1470932</v>
      </c>
    </row>
    <row r="24" spans="1:14">
      <c r="A24" t="str">
        <v>From newark sheet (50mm)</v>
      </c>
      <c r="B24">
        <v>24</v>
      </c>
      <c r="C24">
        <v>1.3</v>
      </c>
      <c r="D24">
        <v>1.39</v>
      </c>
      <c r="E24">
        <v>1.6</v>
      </c>
      <c r="F24">
        <v>1.8</v>
      </c>
      <c r="G24">
        <v>1.45</v>
      </c>
      <c r="H24">
        <v>1.58</v>
      </c>
      <c r="I24">
        <v>1.84</v>
      </c>
      <c r="J24">
        <v>2.05</v>
      </c>
      <c r="K24">
        <v>2.34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" bottom="1" header="0.5906" footer="0.3937"/>
  <pageSetup/>
</worksheet>
</file>

<file path=xl/worksheets/sheet5.xml><?xml version="1.0" encoding="utf-8"?>
<worksheet xmlns="http://schemas.openxmlformats.org/spreadsheetml/2006/main" xmlns:r="http://schemas.openxmlformats.org/officeDocument/2006/relationships">
  <dimension ref="A1:V104"/>
  <sheetViews>
    <sheetView topLeftCell="B29" workbookViewId="0">
      <selection activeCell="A19" sqref="A19:U39"/>
    </sheetView>
  </sheetViews>
  <sheetFormatPr defaultRowHeight="12.75"/>
  <cols>
    <col min="1" max="1" width="12.99922" customWidth="1"/>
    <col min="2" max="2" width="13.14207" customWidth="1"/>
    <col min="3" max="3" width="13.99916" customWidth="1"/>
    <col min="4" max="4" width="5.428245" customWidth="1"/>
    <col min="5" max="5" width="7.285276" customWidth="1"/>
    <col min="6" max="6" width="2.285577" customWidth="1"/>
    <col min="7" max="7" width="6.713882" customWidth="1"/>
    <col min="8" max="8" width="2.285577" customWidth="1"/>
    <col min="9" max="9" width="7.856671" customWidth="1"/>
    <col min="10" max="10" width="2.285577" customWidth="1"/>
    <col min="11" max="11" width="7.856671" customWidth="1"/>
    <col min="12" max="12" width="2.285577" customWidth="1"/>
    <col min="13" max="13" width="8.713762" customWidth="1"/>
    <col min="14" max="14" width="6.713882" customWidth="1"/>
    <col min="15" max="15" width="9.142308"/>
    <col min="16" max="16" width="8.999459" customWidth="1"/>
    <col min="17" max="17" width="6.571034" customWidth="1"/>
    <col min="18" max="18" width="8.142368" customWidth="1"/>
    <col min="19" max="19" width="9.142308" customWidth="1"/>
    <col min="20" max="20" width="7.856671" customWidth="1"/>
    <col min="21" max="21" width="9.142308"/>
    <col min="22" max="22" width="18.42746" bestFit="1" customWidth="1"/>
  </cols>
  <sheetData>
    <row r="1" spans="1:22">
      <c r="A1" t="str">
        <v>Current Usage</v>
      </c>
    </row>
    <row r="2" spans="1:22">
      <c r="A2" t="str">
        <v>Leccy</v>
      </c>
    </row>
    <row r="3" spans="1:22">
      <c r="E3" t="str">
        <v>Meter 1</v>
      </c>
      <c r="F3" t="s">
        <v>51</v>
      </c>
      <c r="I3" t="str">
        <v>Meter 2</v>
      </c>
      <c r="J3" t="s">
        <v>51</v>
      </c>
      <c r="P3" t="s">
        <v>52</v>
      </c>
      <c r="R3" t="s">
        <v>53</v>
      </c>
      <c r="T3" t="s">
        <v>9</v>
      </c>
      <c r="U3" t="str">
        <v>£/day</v>
      </c>
    </row>
    <row r="4" spans="1:22">
      <c r="A4" t="str">
        <v>Billdate</v>
      </c>
      <c r="B4" t="str">
        <v>From</v>
      </c>
      <c r="C4" t="str">
        <v>to</v>
      </c>
      <c r="D4" t="str">
        <v>period</v>
      </c>
      <c r="E4" t="s">
        <v>54</v>
      </c>
      <c r="G4" t="s">
        <v>55</v>
      </c>
      <c r="I4" t="s">
        <v>54</v>
      </c>
      <c r="K4" t="s">
        <v>55</v>
      </c>
      <c r="M4" t="str">
        <v>Meter1</v>
      </c>
      <c r="N4" t="str">
        <v>Meter2</v>
      </c>
      <c r="O4" t="str">
        <v>Total </v>
      </c>
      <c r="P4" t="s">
        <v>56</v>
      </c>
      <c r="R4" t="str">
        <v>(rest)</v>
      </c>
      <c r="S4" t="s">
        <v>57</v>
      </c>
    </row>
    <row r="5" spans="1:22">
      <c r="D5" t="str">
        <v>(days)</v>
      </c>
      <c r="E5" t="s">
        <v>5</v>
      </c>
      <c r="G5" t="s">
        <v>5</v>
      </c>
      <c r="I5" t="s">
        <v>5</v>
      </c>
      <c r="K5" t="s">
        <v>5</v>
      </c>
      <c r="M5" t="s">
        <v>58</v>
      </c>
      <c r="N5" t="s">
        <v>58</v>
      </c>
      <c r="O5" t="s">
        <v>58</v>
      </c>
      <c r="P5" t="str">
        <v>(pence)</v>
      </c>
      <c r="Q5" t="s">
        <v>58</v>
      </c>
      <c r="R5" t="str">
        <v>pence</v>
      </c>
      <c r="S5" t="s">
        <v>59</v>
      </c>
    </row>
    <row r="7" spans="1:22">
      <c r="T7">
        <f>365*(T9+T10+T11)/3</f>
        <v>1480.83187172846</v>
      </c>
      <c r="U7">
        <f>365*(U9+U10+U11)/3</f>
        <v>145.957876207327</v>
      </c>
    </row>
    <row r="8" spans="1:22">
      <c r="C8">
        <v>39223</v>
      </c>
      <c r="G8">
        <v>2647</v>
      </c>
      <c r="H8" t="s">
        <v>60</v>
      </c>
      <c r="K8">
        <v>6920</v>
      </c>
      <c r="L8" t="s">
        <v>60</v>
      </c>
    </row>
    <row r="9" spans="1:22">
      <c r="A9">
        <v>39311</v>
      </c>
      <c r="B9">
        <f>C8</f>
        <v>39223</v>
      </c>
      <c r="C9">
        <v>39311</v>
      </c>
      <c r="D9">
        <f>C9-B9</f>
        <v>88</v>
      </c>
      <c r="E9">
        <f>G8</f>
        <v>2647</v>
      </c>
      <c r="F9" t="s">
        <f>H8</f>
        <v>60</v>
      </c>
      <c r="G9">
        <v>2731</v>
      </c>
      <c r="H9" t="s">
        <v>60</v>
      </c>
      <c r="I9">
        <f>K8</f>
        <v>6920</v>
      </c>
      <c r="J9" t="s">
        <f>L8</f>
        <v>60</v>
      </c>
      <c r="K9">
        <v>7126</v>
      </c>
      <c r="L9" t="s">
        <v>60</v>
      </c>
      <c r="M9">
        <f>G9-E9</f>
        <v>84</v>
      </c>
      <c r="N9">
        <f>K9-I9</f>
        <v>206</v>
      </c>
      <c r="O9">
        <f>$M9+$N9</f>
        <v>290</v>
      </c>
      <c r="P9">
        <v>11.066</v>
      </c>
      <c r="Q9">
        <f>round(2.47*D9)</f>
        <v>217</v>
      </c>
      <c r="R9">
        <v>7.975</v>
      </c>
      <c r="S9">
        <f>(min($Q9,$O9)*$P9+if($O9&gt;$Q9,($O9-$Q9)*$R9,0))/100</f>
        <v>29.83497</v>
      </c>
      <c r="T9">
        <f>O9/D9</f>
        <v>3.29545454545455</v>
      </c>
      <c r="U9">
        <f>S9/D9</f>
        <v>0.33903375</v>
      </c>
    </row>
    <row r="10" spans="1:22">
      <c r="B10">
        <f>C9</f>
        <v>39311</v>
      </c>
      <c r="C10">
        <v>39405</v>
      </c>
      <c r="D10">
        <f>C10-B10</f>
        <v>94</v>
      </c>
      <c r="E10">
        <f>G9</f>
        <v>2731</v>
      </c>
      <c r="F10" t="s">
        <f>H9</f>
        <v>60</v>
      </c>
      <c r="G10">
        <v>2870</v>
      </c>
      <c r="H10" t="s">
        <v>60</v>
      </c>
      <c r="I10">
        <f>K9</f>
        <v>7126</v>
      </c>
      <c r="J10" t="s">
        <f>L9</f>
        <v>60</v>
      </c>
      <c r="K10">
        <v>7474</v>
      </c>
      <c r="L10" t="s">
        <v>60</v>
      </c>
      <c r="M10">
        <f>G10-E10</f>
        <v>139</v>
      </c>
      <c r="N10">
        <f>K10-I10</f>
        <v>348</v>
      </c>
      <c r="O10">
        <f>$M10+$N10</f>
        <v>487</v>
      </c>
      <c r="P10">
        <v>11.066</v>
      </c>
      <c r="Q10">
        <f>round(2.47*D10)</f>
        <v>232</v>
      </c>
      <c r="R10">
        <v>7.975</v>
      </c>
      <c r="S10">
        <f>(min($Q10,$O10)*$P10+if($O10&gt;$Q10,($O10-$Q10)*$R10,0))/100</f>
        <v>46.00937</v>
      </c>
      <c r="T10">
        <f>O10/D10</f>
        <v>5.18085106382979</v>
      </c>
      <c r="U10">
        <f>S10/D10</f>
        <v>0.489461382978723</v>
      </c>
    </row>
    <row r="11" spans="1:22">
      <c r="A11">
        <v>39511</v>
      </c>
      <c r="B11">
        <f>C10</f>
        <v>39405</v>
      </c>
      <c r="C11">
        <v>39464</v>
      </c>
      <c r="D11">
        <f>C11-B11</f>
        <v>59</v>
      </c>
      <c r="E11">
        <f>G10</f>
        <v>2870</v>
      </c>
      <c r="F11" t="s">
        <f>H10</f>
        <v>60</v>
      </c>
      <c r="G11">
        <v>2931</v>
      </c>
      <c r="H11" t="s">
        <v>61</v>
      </c>
      <c r="I11">
        <f>K10</f>
        <v>7474</v>
      </c>
      <c r="J11" t="s">
        <f>L10</f>
        <v>60</v>
      </c>
      <c r="K11">
        <v>7631</v>
      </c>
      <c r="L11" t="s">
        <v>61</v>
      </c>
      <c r="M11">
        <f>G11-E11</f>
        <v>61</v>
      </c>
      <c r="N11">
        <f>K11-I11</f>
        <v>157</v>
      </c>
      <c r="O11">
        <f>$M11+$N11</f>
        <v>218</v>
      </c>
      <c r="P11">
        <v>11.066</v>
      </c>
      <c r="Q11">
        <f>round(2.47*D11)</f>
        <v>146</v>
      </c>
      <c r="R11">
        <v>7.975</v>
      </c>
      <c r="S11">
        <f>(min($Q11,$O11)*$P11+if($O11&gt;$Q11,($O11-$Q11)*$R11,0))/100</f>
        <v>21.89836</v>
      </c>
      <c r="T11">
        <f>O11/D11</f>
        <v>3.69491525423729</v>
      </c>
      <c r="U11">
        <f>S11/D11</f>
        <v>0.371158644067797</v>
      </c>
    </row>
    <row r="12" spans="1:22">
      <c r="B12">
        <f>C11</f>
        <v>39464</v>
      </c>
      <c r="C12">
        <v>39475</v>
      </c>
      <c r="D12">
        <f>C12-B12</f>
        <v>11</v>
      </c>
      <c r="E12">
        <f>G11</f>
        <v>2931</v>
      </c>
      <c r="F12" t="s">
        <f>H11</f>
        <v>61</v>
      </c>
      <c r="G12">
        <v>2943</v>
      </c>
      <c r="I12">
        <f>K11</f>
        <v>7631</v>
      </c>
      <c r="J12" t="s">
        <f>L11</f>
        <v>61</v>
      </c>
      <c r="K12">
        <v>7660</v>
      </c>
      <c r="M12">
        <f>G12-E12</f>
        <v>12</v>
      </c>
      <c r="N12">
        <f>K12-I12</f>
        <v>29</v>
      </c>
      <c r="O12">
        <f>$M12+$N12</f>
        <v>41</v>
      </c>
      <c r="P12">
        <v>17.878</v>
      </c>
      <c r="Q12">
        <v>15</v>
      </c>
      <c r="R12">
        <v>9.35</v>
      </c>
      <c r="S12">
        <f>(min($Q12,$O12)*$P12+if($O12&gt;$Q12,($O12-$Q12)*$R12,0))/100</f>
        <v>5.1127</v>
      </c>
      <c r="T12">
        <f>O12/D12</f>
        <v>3.72727272727273</v>
      </c>
      <c r="U12">
        <f>S12/D12</f>
        <v>0.464790909090909</v>
      </c>
    </row>
    <row r="13" spans="1:22">
      <c r="M13">
        <f>G13-E13</f>
        <v>0</v>
      </c>
      <c r="N13">
        <f>K13-I13</f>
        <v>0</v>
      </c>
      <c r="O13">
        <f>$M13+$N13</f>
        <v>0</v>
      </c>
      <c r="P13">
        <v>11.066</v>
      </c>
      <c r="Q13">
        <f>round(2.47*D13)</f>
        <v>0</v>
      </c>
      <c r="R13">
        <v>7.975</v>
      </c>
      <c r="S13">
        <f>(min($Q13,$O13)*$P13+if($O13&gt;$Q13,($O13-$Q13)*$R13,0))/100</f>
        <v>0</v>
      </c>
      <c r="T13" t="e">
        <f>O13/D13</f>
        <v>#DIV/0!</v>
      </c>
      <c r="U13" t="e">
        <f>S13/D13</f>
        <v>#DIV/0!</v>
      </c>
    </row>
    <row r="14" spans="1:22">
      <c r="M14">
        <f>G14-E14</f>
        <v>0</v>
      </c>
      <c r="N14">
        <f>K14-I14</f>
        <v>0</v>
      </c>
      <c r="O14">
        <f>$M14+$N14</f>
        <v>0</v>
      </c>
      <c r="P14">
        <v>11.066</v>
      </c>
      <c r="Q14">
        <f>round(2.47*D14)</f>
        <v>0</v>
      </c>
      <c r="R14">
        <v>7.975</v>
      </c>
      <c r="S14">
        <f>(min($Q14,$O14)*$P14+if($O14&gt;$Q14,($O14-$Q14)*$R14,0))/100</f>
        <v>0</v>
      </c>
      <c r="T14" t="e">
        <f>O14/D14</f>
        <v>#DIV/0!</v>
      </c>
      <c r="U14" t="e">
        <f>S14/D14</f>
        <v>#DIV/0!</v>
      </c>
    </row>
    <row r="19" spans="1:22">
      <c r="A19" t="s">
        <v>62</v>
      </c>
      <c r="C19">
        <v>39094</v>
      </c>
      <c r="O19">
        <f>sum(O20:O39)</f>
        <v>4180.93402748167</v>
      </c>
      <c r="P19" t="s">
        <v>63</v>
      </c>
      <c r="S19">
        <f>sum(S20:S39)</f>
        <v>110.939731075822</v>
      </c>
    </row>
    <row r="20" spans="1:22">
      <c r="B20">
        <f>C19</f>
        <v>39094</v>
      </c>
      <c r="C20">
        <v>39109</v>
      </c>
      <c r="D20">
        <f>C20-B20</f>
        <v>15</v>
      </c>
      <c r="E20">
        <v>6033</v>
      </c>
      <c r="G20">
        <v>6059</v>
      </c>
      <c r="H20" t="s">
        <v>60</v>
      </c>
      <c r="O20">
        <f>(G20-E20)*2.83*1.02264*39.251/3.6</f>
        <v>820.409695958667</v>
      </c>
      <c r="P20">
        <v>3.56</v>
      </c>
      <c r="Q20">
        <f>round(12.526*D20)</f>
        <v>188</v>
      </c>
      <c r="R20">
        <v>2.732</v>
      </c>
      <c r="S20">
        <f>(min($Q20,$O20)*$P20+if($O20&gt;$Q20,($O20-$Q20)*$R20,0))/100</f>
        <v>23.9702328935908</v>
      </c>
      <c r="T20">
        <f>(O20+N20)/D20</f>
        <v>54.6939797305778</v>
      </c>
      <c r="U20">
        <f>S20/D20</f>
        <v>1.59801552623938</v>
      </c>
    </row>
    <row r="21" spans="1:22">
      <c r="B21">
        <f>C20</f>
        <v>39109</v>
      </c>
      <c r="C21">
        <v>39117</v>
      </c>
      <c r="D21">
        <f>C21-B21</f>
        <v>8</v>
      </c>
      <c r="E21">
        <f>G20</f>
        <v>6059</v>
      </c>
      <c r="G21">
        <v>6064</v>
      </c>
      <c r="H21" t="s">
        <v>60</v>
      </c>
      <c r="O21">
        <f>(G21-E21)*2.83*1.02264*39.251/3.6</f>
        <v>157.771095376667</v>
      </c>
      <c r="P21">
        <v>2.979</v>
      </c>
      <c r="Q21">
        <f>round(12.526*D21)</f>
        <v>100</v>
      </c>
      <c r="R21">
        <v>2.192</v>
      </c>
      <c r="S21">
        <f>(min($Q21,$O21)*$P21+if($O21&gt;$Q21,($O21-$Q21)*$R21,0))/100</f>
        <v>4.24534241065653</v>
      </c>
      <c r="T21">
        <f>(O21+N21)/D21</f>
        <v>19.7213869220833</v>
      </c>
      <c r="U21">
        <f>S21/D21</f>
        <v>0.530667801332067</v>
      </c>
    </row>
    <row r="22" spans="1:22">
      <c r="B22">
        <f>C21</f>
        <v>39117</v>
      </c>
      <c r="C22">
        <v>39124</v>
      </c>
      <c r="D22">
        <f>C22-B22</f>
        <v>7</v>
      </c>
      <c r="E22">
        <f>G21</f>
        <v>6064</v>
      </c>
      <c r="G22">
        <v>6068</v>
      </c>
      <c r="H22" t="s">
        <v>60</v>
      </c>
      <c r="O22">
        <f>(G22-E22)*2.83*1.02264*39.251/3.6</f>
        <v>126.216876301333</v>
      </c>
      <c r="P22">
        <v>2.979</v>
      </c>
      <c r="Q22">
        <f>round(12.526*D22)</f>
        <v>88</v>
      </c>
      <c r="R22">
        <v>2.192</v>
      </c>
      <c r="S22">
        <f>(min($Q22,$O22)*$P22+if($O22&gt;$Q22,($O22-$Q22)*$R22,0))/100</f>
        <v>3.45923392852523</v>
      </c>
      <c r="T22">
        <f>(O22+N22)/D22</f>
        <v>18.0309823287619</v>
      </c>
      <c r="U22">
        <f>S22/D22</f>
        <v>0.494176275503604</v>
      </c>
    </row>
    <row r="23" spans="1:22">
      <c r="B23">
        <f>C22</f>
        <v>39124</v>
      </c>
      <c r="C23">
        <v>39137</v>
      </c>
      <c r="D23">
        <f>C23-B23</f>
        <v>13</v>
      </c>
      <c r="E23">
        <f>G22</f>
        <v>6068</v>
      </c>
      <c r="G23">
        <v>6071</v>
      </c>
      <c r="H23" t="s">
        <v>60</v>
      </c>
      <c r="O23">
        <f>(G23-E23)*2.83*1.02264*39.251/3.6</f>
        <v>94.662657226</v>
      </c>
      <c r="P23">
        <v>2.979</v>
      </c>
      <c r="Q23">
        <f>round(12.526*D23)</f>
        <v>163</v>
      </c>
      <c r="R23">
        <v>2.192</v>
      </c>
      <c r="S23">
        <f>(min($Q23,$O23)*$P23+if($O23&gt;$Q23,($O23-$Q23)*$R23,0))/100</f>
        <v>2.82000055876254</v>
      </c>
      <c r="T23">
        <f>(O23+N23)/D23</f>
        <v>7.28174286353846</v>
      </c>
      <c r="U23">
        <f>S23/D23</f>
        <v>0.216923119904811</v>
      </c>
    </row>
    <row r="24" spans="1:22">
      <c r="B24">
        <f>C23</f>
        <v>39137</v>
      </c>
      <c r="C24">
        <v>39152</v>
      </c>
      <c r="D24">
        <f>C24-B24</f>
        <v>15</v>
      </c>
      <c r="E24">
        <f>G23</f>
        <v>6071</v>
      </c>
      <c r="G24">
        <v>6074.2</v>
      </c>
      <c r="H24" t="s">
        <v>60</v>
      </c>
      <c r="O24">
        <f>(G24-E24)*2.83*1.02264*39.251/3.6</f>
        <v>100.973501041061</v>
      </c>
      <c r="P24">
        <v>2.979</v>
      </c>
      <c r="Q24">
        <f>round(12.526*D24)</f>
        <v>188</v>
      </c>
      <c r="R24">
        <v>2.192</v>
      </c>
      <c r="S24">
        <f>(min($Q24,$O24)*$P24+if($O24&gt;$Q24,($O24-$Q24)*$R24,0))/100</f>
        <v>3.00800059601321</v>
      </c>
      <c r="T24">
        <f>(O24+N24)/D24</f>
        <v>6.73156673607073</v>
      </c>
      <c r="U24">
        <f>S24/D24</f>
        <v>0.200533373067547</v>
      </c>
    </row>
    <row r="25" spans="1:22">
      <c r="B25">
        <f>C24</f>
        <v>39152</v>
      </c>
      <c r="C25">
        <v>39205</v>
      </c>
      <c r="D25">
        <f>C25-B25</f>
        <v>53</v>
      </c>
      <c r="E25">
        <f>G24</f>
        <v>6074.2</v>
      </c>
      <c r="G25">
        <v>6075.6</v>
      </c>
      <c r="H25" t="s">
        <v>60</v>
      </c>
      <c r="O25">
        <f>(G25-E25)*2.83*1.02264*39.251/3.6</f>
        <v>44.1759067054839</v>
      </c>
      <c r="P25">
        <v>2.979</v>
      </c>
      <c r="Q25">
        <f>round(12.526*D25)</f>
        <v>664</v>
      </c>
      <c r="R25">
        <v>2.192</v>
      </c>
      <c r="S25">
        <f>(min($Q25,$O25)*$P25+if($O25&gt;$Q25,($O25-$Q25)*$R25,0))/100</f>
        <v>1.31600026075637</v>
      </c>
      <c r="T25">
        <f>(O25+N25)/D25</f>
        <v>0.833507673688375</v>
      </c>
      <c r="U25">
        <f>S25/D25</f>
        <v>0.0248301935991767</v>
      </c>
    </row>
    <row r="26" spans="1:22">
      <c r="B26">
        <f>C25</f>
        <v>39205</v>
      </c>
      <c r="C26">
        <v>39263</v>
      </c>
      <c r="D26">
        <f>C26-B26</f>
        <v>58</v>
      </c>
      <c r="E26">
        <f>G25</f>
        <v>6075.6</v>
      </c>
      <c r="G26">
        <v>6075.9</v>
      </c>
      <c r="H26" t="s">
        <v>60</v>
      </c>
      <c r="O26">
        <f>(G26-E26)*2.83*1.02264*39.251/3.6</f>
        <v>9.46626572257704</v>
      </c>
      <c r="P26">
        <v>2.979</v>
      </c>
      <c r="Q26">
        <f>round(12.526*D26)</f>
        <v>727</v>
      </c>
      <c r="R26">
        <v>2.192</v>
      </c>
      <c r="S26">
        <f>(min($Q26,$O26)*$P26+if($O26&gt;$Q26,($O26-$Q26)*$R26,0))/100</f>
        <v>0.28200005587557</v>
      </c>
      <c r="T26">
        <f>(O26+N26)/D26</f>
        <v>0.163211477975466</v>
      </c>
      <c r="U26">
        <f>S26/D26</f>
        <v>0.00486206992888914</v>
      </c>
    </row>
    <row r="27" spans="1:22">
      <c r="B27">
        <f>C26</f>
        <v>39263</v>
      </c>
      <c r="C27">
        <v>39355</v>
      </c>
      <c r="D27">
        <f>C27-B27</f>
        <v>92</v>
      </c>
      <c r="E27">
        <f>G26</f>
        <v>6075.9</v>
      </c>
      <c r="G27">
        <v>6076.8</v>
      </c>
      <c r="H27" t="s">
        <v>60</v>
      </c>
      <c r="O27">
        <f>(G27-E27)*2.83*1.02264*39.251/3.6</f>
        <v>28.3987971678172</v>
      </c>
      <c r="P27">
        <v>2.979</v>
      </c>
      <c r="Q27">
        <f>round(12.526*D27)</f>
        <v>1152</v>
      </c>
      <c r="R27">
        <v>2.192</v>
      </c>
      <c r="S27">
        <f>(min($Q27,$O27)*$P27+if($O27&gt;$Q27,($O27-$Q27)*$R27,0))/100</f>
        <v>0.846000167629275</v>
      </c>
      <c r="T27">
        <f>(O27+N27)/D27</f>
        <v>0.308682577911057</v>
      </c>
      <c r="U27">
        <f>S27/D27</f>
        <v>0.00919565399597038</v>
      </c>
    </row>
    <row r="28" spans="1:22">
      <c r="B28">
        <f>C27</f>
        <v>39355</v>
      </c>
      <c r="C28">
        <v>39360</v>
      </c>
      <c r="D28">
        <f>C28-B28</f>
        <v>5</v>
      </c>
      <c r="E28">
        <f>G27</f>
        <v>6076.8</v>
      </c>
      <c r="G28">
        <v>6080.7</v>
      </c>
      <c r="H28" t="s">
        <v>60</v>
      </c>
      <c r="O28">
        <f>(G28-E28)*2.83*1.02264*39.251/3.6</f>
        <v>123.061454393789</v>
      </c>
      <c r="P28">
        <v>2.979</v>
      </c>
      <c r="Q28">
        <f>round(12.526*D28)</f>
        <v>63</v>
      </c>
      <c r="R28">
        <v>2.192</v>
      </c>
      <c r="S28">
        <f>(min($Q28,$O28)*$P28+if($O28&gt;$Q28,($O28-$Q28)*$R28,0))/100</f>
        <v>3.19331708031184</v>
      </c>
      <c r="T28">
        <f>(O28+N28)/D28</f>
        <v>24.6122908787577</v>
      </c>
      <c r="U28">
        <f>S28/D28</f>
        <v>0.638663416062369</v>
      </c>
    </row>
    <row r="29" spans="1:22">
      <c r="B29">
        <f>C28</f>
        <v>39360</v>
      </c>
      <c r="C29">
        <v>39367</v>
      </c>
      <c r="D29">
        <f>C29-B29</f>
        <v>7</v>
      </c>
      <c r="E29">
        <f>G28</f>
        <v>6080.7</v>
      </c>
      <c r="G29">
        <v>6085.5</v>
      </c>
      <c r="H29" t="s">
        <v>60</v>
      </c>
      <c r="O29">
        <f>(G29-E29)*2.83*1.02264*39.251/3.6</f>
        <v>151.460251561606</v>
      </c>
      <c r="P29">
        <v>2.979</v>
      </c>
      <c r="Q29">
        <f>round(12.526*D29)</f>
        <v>88</v>
      </c>
      <c r="R29">
        <v>2.192</v>
      </c>
      <c r="S29">
        <f>(min($Q29,$O29)*$P29+if($O29&gt;$Q29,($O29-$Q29)*$R29,0))/100</f>
        <v>4.0125687142304</v>
      </c>
      <c r="T29">
        <f>(O29+N29)/D29</f>
        <v>21.6371787945151</v>
      </c>
      <c r="U29">
        <f>S29/D29</f>
        <v>0.573224102032914</v>
      </c>
    </row>
    <row r="30" spans="1:22">
      <c r="B30">
        <f>C29</f>
        <v>39367</v>
      </c>
      <c r="C30">
        <v>39374</v>
      </c>
      <c r="D30">
        <f>C30-B30</f>
        <v>7</v>
      </c>
      <c r="E30">
        <f>G29</f>
        <v>6085.5</v>
      </c>
      <c r="G30">
        <v>6090.5</v>
      </c>
      <c r="H30" t="s">
        <v>60</v>
      </c>
      <c r="O30">
        <f>(G30-E30)*2.83*1.02264*39.251/3.6</f>
        <v>157.771095376667</v>
      </c>
      <c r="P30">
        <v>2.979</v>
      </c>
      <c r="Q30">
        <f>round(12.526*D30)</f>
        <v>88</v>
      </c>
      <c r="R30">
        <v>2.192</v>
      </c>
      <c r="S30">
        <f>(min($Q30,$O30)*$P30+if($O30&gt;$Q30,($O30-$Q30)*$R30,0))/100</f>
        <v>4.15090241065653</v>
      </c>
      <c r="T30">
        <f>(O30+N30)/D30</f>
        <v>22.5387279109524</v>
      </c>
      <c r="U30">
        <f>S30/D30</f>
        <v>0.592986058665219</v>
      </c>
    </row>
    <row r="31" spans="1:22">
      <c r="B31">
        <f>C30</f>
        <v>39374</v>
      </c>
      <c r="C31">
        <v>39379</v>
      </c>
      <c r="D31">
        <f>C31-B31</f>
        <v>5</v>
      </c>
      <c r="E31">
        <f>G30</f>
        <v>6090.5</v>
      </c>
      <c r="G31">
        <v>6095.3</v>
      </c>
      <c r="H31" t="s">
        <v>60</v>
      </c>
      <c r="O31">
        <f>(G31-E31)*2.83*1.02264*39.251/3.6</f>
        <v>151.460251561606</v>
      </c>
      <c r="P31">
        <v>2.979</v>
      </c>
      <c r="Q31">
        <f>round(12.526*D31)</f>
        <v>63</v>
      </c>
      <c r="R31">
        <v>2.192</v>
      </c>
      <c r="S31">
        <f>(min($Q31,$O31)*$P31+if($O31&gt;$Q31,($O31-$Q31)*$R31,0))/100</f>
        <v>3.8158187142304</v>
      </c>
      <c r="T31">
        <f>(O31+N31)/D31</f>
        <v>30.2920503123211</v>
      </c>
      <c r="U31">
        <f>S31/D31</f>
        <v>0.763163742846079</v>
      </c>
    </row>
    <row r="32" spans="1:22">
      <c r="B32">
        <f>C31</f>
        <v>39379</v>
      </c>
      <c r="C32">
        <v>39386</v>
      </c>
      <c r="D32">
        <f>C32-B32</f>
        <v>7</v>
      </c>
      <c r="E32">
        <f>G31</f>
        <v>6095.3</v>
      </c>
      <c r="G32">
        <v>6102.6</v>
      </c>
      <c r="H32" t="s">
        <v>60</v>
      </c>
      <c r="O32">
        <f>(G32-E32)*2.83*1.02264*39.251/3.6</f>
        <v>230.345799249939</v>
      </c>
      <c r="P32">
        <v>2.979</v>
      </c>
      <c r="Q32">
        <f>round(12.526*D32)</f>
        <v>88</v>
      </c>
      <c r="R32">
        <v>2.192</v>
      </c>
      <c r="S32">
        <f>(min($Q32,$O32)*$P32+if($O32&gt;$Q32,($O32-$Q32)*$R32,0))/100</f>
        <v>5.74173991955866</v>
      </c>
      <c r="T32">
        <f>(O32+N32)/D32</f>
        <v>32.9065427499913</v>
      </c>
      <c r="U32">
        <f>S32/D32</f>
        <v>0.820248559936952</v>
      </c>
    </row>
    <row r="33" spans="1:22">
      <c r="B33">
        <f>C32</f>
        <v>39386</v>
      </c>
      <c r="C33">
        <v>39393</v>
      </c>
      <c r="D33">
        <f>C33-B33</f>
        <v>7</v>
      </c>
      <c r="E33">
        <f>G32</f>
        <v>6102.6</v>
      </c>
      <c r="G33">
        <v>6110.9</v>
      </c>
      <c r="H33" t="s">
        <v>60</v>
      </c>
      <c r="O33">
        <f>(G33-E33)*2.83*1.02264*39.251/3.6</f>
        <v>261.900018325244</v>
      </c>
      <c r="P33">
        <v>2.979</v>
      </c>
      <c r="Q33">
        <f>round(12.526*D33)</f>
        <v>88</v>
      </c>
      <c r="R33">
        <v>2.192</v>
      </c>
      <c r="S33">
        <f>(min($Q33,$O33)*$P33+if($O33&gt;$Q33,($O33-$Q33)*$R33,0))/100</f>
        <v>6.43340840168934</v>
      </c>
      <c r="T33">
        <f>(O33+N33)/D33</f>
        <v>37.4142883321777</v>
      </c>
      <c r="U33">
        <f>S33/D33</f>
        <v>0.919058343098477</v>
      </c>
    </row>
    <row r="34" spans="1:22">
      <c r="B34">
        <f>C33</f>
        <v>39393</v>
      </c>
      <c r="C34">
        <v>39400</v>
      </c>
      <c r="D34">
        <f>C34-B34</f>
        <v>7</v>
      </c>
      <c r="E34">
        <f>G33</f>
        <v>6110.9</v>
      </c>
      <c r="G34">
        <v>6119.7</v>
      </c>
      <c r="H34" t="s">
        <v>60</v>
      </c>
      <c r="O34">
        <f>(G34-E34)*2.83*1.02264*39.251/3.6</f>
        <v>277.677127862939</v>
      </c>
      <c r="P34">
        <v>2.979</v>
      </c>
      <c r="Q34">
        <f>round(12.526*D34)</f>
        <v>88</v>
      </c>
      <c r="R34">
        <v>2.192</v>
      </c>
      <c r="S34">
        <f>(min($Q34,$O34)*$P34+if($O34&gt;$Q34,($O34-$Q34)*$R34,0))/100</f>
        <v>6.77924264275562</v>
      </c>
      <c r="T34">
        <f>(O34+N34)/D34</f>
        <v>39.668161123277</v>
      </c>
      <c r="U34">
        <f>S34/D34</f>
        <v>0.968463234679375</v>
      </c>
    </row>
    <row r="35" spans="1:22">
      <c r="B35">
        <f>C34</f>
        <v>39400</v>
      </c>
      <c r="C35">
        <v>39409</v>
      </c>
      <c r="D35">
        <f>C35-B35</f>
        <v>9</v>
      </c>
      <c r="E35">
        <f>G34</f>
        <v>6119.7</v>
      </c>
      <c r="G35">
        <v>6129.8</v>
      </c>
      <c r="H35" t="s">
        <v>60</v>
      </c>
      <c r="O35">
        <f>(G35-E35)*2.83*1.02264*39.251/3.6</f>
        <v>318.697612660878</v>
      </c>
      <c r="P35">
        <v>2.979</v>
      </c>
      <c r="Q35">
        <f>round(12.526*D35)</f>
        <v>113</v>
      </c>
      <c r="R35">
        <v>2.192</v>
      </c>
      <c r="S35">
        <f>(min($Q35,$O35)*$P35+if($O35&gt;$Q35,($O35-$Q35)*$R35,0))/100</f>
        <v>7.87516166952645</v>
      </c>
      <c r="T35">
        <f>(O35+N35)/D35</f>
        <v>35.4108458512087</v>
      </c>
      <c r="U35">
        <f>S35/D35</f>
        <v>0.875017963280716</v>
      </c>
    </row>
    <row r="36" spans="1:22">
      <c r="B36">
        <f>C35</f>
        <v>39409</v>
      </c>
      <c r="C36">
        <v>39426</v>
      </c>
      <c r="D36">
        <f>C36-B36</f>
        <v>17</v>
      </c>
      <c r="E36">
        <f>G35</f>
        <v>6129.8</v>
      </c>
      <c r="G36">
        <v>6146.9</v>
      </c>
      <c r="H36" t="s">
        <v>60</v>
      </c>
      <c r="O36">
        <f>(G36-E36)*2.83*1.02264*39.251/3.6</f>
        <v>539.577146188183</v>
      </c>
      <c r="P36">
        <v>2.979</v>
      </c>
      <c r="Q36">
        <f>round(12.526*D36)</f>
        <v>213</v>
      </c>
      <c r="R36">
        <v>2.192</v>
      </c>
      <c r="S36">
        <f>(min($Q36,$O36)*$P36+if($O36&gt;$Q36,($O36-$Q36)*$R36,0))/100</f>
        <v>13.503841044445</v>
      </c>
      <c r="T36">
        <f>(O36+N36)/D36</f>
        <v>31.7398321287166</v>
      </c>
      <c r="U36">
        <f>S36/D36</f>
        <v>0.794343590849704</v>
      </c>
    </row>
    <row r="37" spans="1:22">
      <c r="B37">
        <f>C36</f>
        <v>39426</v>
      </c>
      <c r="C37">
        <v>39434</v>
      </c>
      <c r="D37">
        <f>C37-B37</f>
        <v>8</v>
      </c>
      <c r="E37">
        <f>G36</f>
        <v>6146.9</v>
      </c>
      <c r="G37">
        <v>6154.5</v>
      </c>
      <c r="H37" t="s">
        <v>60</v>
      </c>
      <c r="O37">
        <f>(G37-E37)*2.83*1.02264*39.251/3.6</f>
        <v>239.812064972545</v>
      </c>
      <c r="P37">
        <v>2.979</v>
      </c>
      <c r="Q37">
        <f>round(12.526*D37)</f>
        <v>100</v>
      </c>
      <c r="R37">
        <v>2.192</v>
      </c>
      <c r="S37">
        <f>(min($Q37,$O37)*$P37+if($O37&gt;$Q37,($O37-$Q37)*$R37,0))/100</f>
        <v>6.04368046419818</v>
      </c>
      <c r="T37">
        <f>(O37+N37)/D37</f>
        <v>29.9765081215681</v>
      </c>
      <c r="U37">
        <f>S37/D37</f>
        <v>0.755460058024773</v>
      </c>
    </row>
    <row r="38" spans="1:22">
      <c r="B38">
        <f>C37</f>
        <v>39434</v>
      </c>
      <c r="C38">
        <v>39454</v>
      </c>
      <c r="D38">
        <f>C38-B38</f>
        <v>20</v>
      </c>
      <c r="E38">
        <f>G37</f>
        <v>6154.5</v>
      </c>
      <c r="G38">
        <v>6159.1</v>
      </c>
      <c r="H38" t="s">
        <v>60</v>
      </c>
      <c r="O38">
        <f>(G38-E38)*2.83*1.02264*39.251/3.6</f>
        <v>145.149407746545</v>
      </c>
      <c r="P38">
        <v>2.979</v>
      </c>
      <c r="Q38">
        <f>round(12.526*D38)</f>
        <v>251</v>
      </c>
      <c r="R38">
        <v>2.192</v>
      </c>
      <c r="S38">
        <f>(min($Q38,$O38)*$P38+if($O38&gt;$Q38,($O38-$Q38)*$R38,0))/100</f>
        <v>4.32400085676957</v>
      </c>
      <c r="T38">
        <f>(O38+N38)/D38</f>
        <v>7.25747038732724</v>
      </c>
      <c r="U38">
        <f>S38/D38</f>
        <v>0.216200042838478</v>
      </c>
    </row>
    <row r="39" spans="1:22">
      <c r="B39">
        <f>C38</f>
        <v>39454</v>
      </c>
      <c r="C39">
        <v>39461</v>
      </c>
      <c r="D39">
        <f>C39-B39</f>
        <v>7</v>
      </c>
      <c r="E39">
        <f>G38</f>
        <v>6159.1</v>
      </c>
      <c r="G39">
        <v>6165.5</v>
      </c>
      <c r="H39" t="s">
        <v>60</v>
      </c>
      <c r="O39">
        <f>(G39-E39)*2.83*1.02264*39.251/3.6</f>
        <v>201.947002082122</v>
      </c>
      <c r="P39">
        <v>2.979</v>
      </c>
      <c r="Q39">
        <f>round(12.526*D39)</f>
        <v>88</v>
      </c>
      <c r="R39">
        <v>2.192</v>
      </c>
      <c r="S39">
        <f>(min($Q39,$O39)*$P39+if($O39&gt;$Q39,($O39-$Q39)*$R39,0))/100</f>
        <v>5.11923828564011</v>
      </c>
      <c r="T39">
        <f>(O39+N39)/D39</f>
        <v>28.8495717260174</v>
      </c>
      <c r="U39">
        <f>S39/D39</f>
        <v>0.731319755091444</v>
      </c>
    </row>
    <row r="43" spans="1:22">
      <c r="A43" t="s">
        <v>10</v>
      </c>
      <c r="P43">
        <v>1177</v>
      </c>
    </row>
    <row r="44" spans="1:22">
      <c r="P44" t="s">
        <v>52</v>
      </c>
      <c r="R44" t="str">
        <v>price for </v>
      </c>
    </row>
    <row r="45" spans="1:22">
      <c r="A45" t="str">
        <v>Bills</v>
      </c>
      <c r="C45">
        <v>39094</v>
      </c>
      <c r="G45">
        <v>6033</v>
      </c>
      <c r="H45" t="s">
        <v>60</v>
      </c>
      <c r="M45" t="str">
        <v>calories</v>
      </c>
      <c r="O45">
        <f>sum(O46:O51)</f>
        <v>4151.8603489882</v>
      </c>
      <c r="P45" t="s">
        <v>56</v>
      </c>
      <c r="Q45" t="s">
        <v>58</v>
      </c>
      <c r="R45" t="str">
        <v>rest</v>
      </c>
      <c r="S45">
        <f>sum(S46:S51)</f>
        <v>119.129009891397</v>
      </c>
    </row>
    <row r="46" spans="1:22">
      <c r="B46">
        <f>C45</f>
        <v>39094</v>
      </c>
      <c r="C46">
        <v>39097</v>
      </c>
      <c r="D46">
        <f>C46-B46</f>
        <v>3</v>
      </c>
      <c r="E46">
        <f>G45</f>
        <v>6033</v>
      </c>
      <c r="F46" t="s">
        <f>H45</f>
        <v>60</v>
      </c>
      <c r="G46">
        <v>6035</v>
      </c>
      <c r="H46" t="s">
        <v>61</v>
      </c>
      <c r="M46">
        <v>39.2085</v>
      </c>
      <c r="O46">
        <f>(G46-E46)*2.83*1.02264*M46/3.6</f>
        <v>63.040105914</v>
      </c>
      <c r="P46">
        <v>4.959</v>
      </c>
      <c r="Q46">
        <f>round(12.526*D46)</f>
        <v>38</v>
      </c>
      <c r="R46">
        <v>2.801</v>
      </c>
      <c r="S46">
        <f>(min($Q46,$O46)*$P46+if($O46&gt;$Q46,($O46-$Q46)*$R46,0))/100</f>
        <v>2.58579336665114</v>
      </c>
      <c r="T46">
        <f>O46/D46</f>
        <v>21.013368638</v>
      </c>
      <c r="U46">
        <f>S46/D46</f>
        <v>0.861931122217047</v>
      </c>
    </row>
    <row r="47" spans="1:22">
      <c r="B47">
        <f>C46</f>
        <v>39097</v>
      </c>
      <c r="C47">
        <v>39128</v>
      </c>
      <c r="D47">
        <f>C47-B47</f>
        <v>31</v>
      </c>
      <c r="E47">
        <f>G46</f>
        <v>6035</v>
      </c>
      <c r="F47" t="s">
        <f>H46</f>
        <v>61</v>
      </c>
      <c r="G47">
        <v>6069</v>
      </c>
      <c r="H47" t="s">
        <v>60</v>
      </c>
      <c r="M47">
        <v>39.2085</v>
      </c>
      <c r="O47">
        <f>(G47-E47)*2.83*1.02264*M47/3.6</f>
        <v>1071.681800538</v>
      </c>
      <c r="P47">
        <v>3.56</v>
      </c>
      <c r="Q47">
        <v>401</v>
      </c>
      <c r="R47">
        <v>2.732</v>
      </c>
      <c r="S47">
        <f>(min($Q47,$O47)*$P47+if($O47&gt;$Q47,($O47-$Q47)*$R47,0))/100</f>
        <v>32.5986267906982</v>
      </c>
      <c r="T47">
        <f>O47/D47</f>
        <v>34.5703806625161</v>
      </c>
      <c r="U47">
        <f>S47/D47</f>
        <v>1.05156860615155</v>
      </c>
    </row>
    <row r="48" spans="1:22">
      <c r="B48">
        <f>C47+1</f>
        <v>39129</v>
      </c>
      <c r="C48">
        <v>39223</v>
      </c>
      <c r="D48">
        <f>C49-B48</f>
        <v>172</v>
      </c>
      <c r="E48">
        <f>G47</f>
        <v>6069</v>
      </c>
      <c r="F48" t="s">
        <f>H47</f>
        <v>60</v>
      </c>
      <c r="G48">
        <v>6075</v>
      </c>
      <c r="H48" t="s">
        <v>60</v>
      </c>
      <c r="M48">
        <v>39.2522</v>
      </c>
      <c r="O48">
        <f>(G48-E48)*2.83*1.02264*M48/3.6</f>
        <v>189.3311025944</v>
      </c>
      <c r="P48">
        <v>2.979</v>
      </c>
      <c r="Q48">
        <f>round(12.526*D48)</f>
        <v>2154</v>
      </c>
      <c r="R48">
        <v>2.192</v>
      </c>
      <c r="S48">
        <f>(min($Q48,$O48)*$P48+if($O48&gt;$Q48,($O48-$Q48)*$R48,0))/100</f>
        <v>5.64017354628718</v>
      </c>
      <c r="T48">
        <f>O48/D48</f>
        <v>1.10076222438605</v>
      </c>
      <c r="U48">
        <f>S48/D48</f>
        <v>0.0327917066644603</v>
      </c>
    </row>
    <row r="49" spans="1:22">
      <c r="B49">
        <f>C48+1</f>
        <v>39224</v>
      </c>
      <c r="C49">
        <v>39301</v>
      </c>
      <c r="D49">
        <f>C50-B49</f>
        <v>181</v>
      </c>
      <c r="E49">
        <f>G48</f>
        <v>6075</v>
      </c>
      <c r="F49" t="s">
        <f>H48</f>
        <v>60</v>
      </c>
      <c r="G49">
        <v>6076</v>
      </c>
      <c r="H49" t="s">
        <v>60</v>
      </c>
      <c r="M49">
        <v>39.2522</v>
      </c>
      <c r="O49">
        <f>(G49-E49)*2.83*1.02264*M49/3.6</f>
        <v>31.5551837657333</v>
      </c>
      <c r="P49">
        <v>2.979</v>
      </c>
      <c r="Q49">
        <f>round(12.526*D49)</f>
        <v>2267</v>
      </c>
      <c r="R49">
        <v>2.192</v>
      </c>
      <c r="S49">
        <f>(min($Q49,$O49)*$P49+if($O49&gt;$Q49,($O49-$Q49)*$R49,0))/100</f>
        <v>0.940028924381196</v>
      </c>
      <c r="T49">
        <f>O49/D49</f>
        <v>0.17433803185488</v>
      </c>
      <c r="U49">
        <f>S49/D49</f>
        <v>0.00519352996895688</v>
      </c>
    </row>
    <row r="50" spans="1:22" ht="12" customHeight="1">
      <c r="B50">
        <f>C49</f>
        <v>39301</v>
      </c>
      <c r="C50">
        <v>39405</v>
      </c>
      <c r="D50">
        <f>C50-B50</f>
        <v>104</v>
      </c>
      <c r="E50">
        <f>G49</f>
        <v>6076</v>
      </c>
      <c r="F50" t="s">
        <f>H49</f>
        <v>60</v>
      </c>
      <c r="G50">
        <v>6124</v>
      </c>
      <c r="H50" t="s">
        <v>60</v>
      </c>
      <c r="M50">
        <v>39.251</v>
      </c>
      <c r="O50">
        <f>(G50-E50)*2.83*1.02264*M50/3.6</f>
        <v>1514.602515616</v>
      </c>
      <c r="P50">
        <v>2.979</v>
      </c>
      <c r="Q50">
        <f>round(12.526*D50)</f>
        <v>1303</v>
      </c>
      <c r="R50">
        <v>2.192</v>
      </c>
      <c r="S50">
        <f>(min($Q50,$O50)*$P50+if($O50&gt;$Q50,($O50-$Q50)*$R50,0))/100</f>
        <v>43.4546971423027</v>
      </c>
      <c r="T50">
        <f>O50/D50</f>
        <v>14.5634857270769</v>
      </c>
      <c r="U50">
        <f>S50/D50</f>
        <v>0.417833626368295</v>
      </c>
    </row>
    <row r="51" spans="1:22">
      <c r="B51">
        <f>C50</f>
        <v>39405</v>
      </c>
      <c r="C51">
        <v>39464</v>
      </c>
      <c r="D51">
        <f>C51-B51</f>
        <v>59</v>
      </c>
      <c r="E51">
        <f>G50</f>
        <v>6124</v>
      </c>
      <c r="F51" t="s">
        <f>H50</f>
        <v>60</v>
      </c>
      <c r="G51">
        <v>6165</v>
      </c>
      <c r="H51" t="s">
        <v>60</v>
      </c>
      <c r="M51">
        <v>38.8847</v>
      </c>
      <c r="O51">
        <f>(G51-E51)*2.83*1.02264*M51/3.6</f>
        <v>1281.64964056007</v>
      </c>
      <c r="P51">
        <v>2.979</v>
      </c>
      <c r="Q51">
        <f>round(12.526*D51)</f>
        <v>739</v>
      </c>
      <c r="R51">
        <v>2.192</v>
      </c>
      <c r="S51">
        <f>(min($Q51,$O51)*$P51+if($O51&gt;$Q51,($O51-$Q51)*$R51,0))/100</f>
        <v>33.9096901210767</v>
      </c>
      <c r="T51">
        <f>O51/D51</f>
        <v>21.7228752637299</v>
      </c>
      <c r="U51">
        <f>S51/D51</f>
        <v>0.574740510526723</v>
      </c>
    </row>
    <row r="52" spans="1:22">
      <c r="B52">
        <f>C51+1</f>
        <v>39465</v>
      </c>
      <c r="C52">
        <v>39486</v>
      </c>
      <c r="D52">
        <f>C52-B52</f>
        <v>21</v>
      </c>
      <c r="E52">
        <f>G51</f>
        <v>6165</v>
      </c>
      <c r="F52" t="s">
        <f>H51</f>
        <v>60</v>
      </c>
      <c r="G52">
        <v>6175</v>
      </c>
      <c r="H52" t="s">
        <v>60</v>
      </c>
      <c r="M52">
        <v>38.8847</v>
      </c>
      <c r="O52">
        <f>(G52-E52)*2.83*1.02264*M52/3.6</f>
        <v>312.597473307333</v>
      </c>
      <c r="P52">
        <v>5.49</v>
      </c>
      <c r="Q52">
        <f>round(12.526*D52)</f>
        <v>263</v>
      </c>
      <c r="R52">
        <v>2.302</v>
      </c>
      <c r="S52">
        <f>(min($Q52,$O52)*$P52+if($O52&gt;$Q52,($O52-$Q52)*$R52,0))/100</f>
        <v>15.5804338355348</v>
      </c>
      <c r="T52">
        <f>O52/D52</f>
        <v>14.8855939670159</v>
      </c>
      <c r="U52">
        <f>S52/D52</f>
        <v>0.741925420739753</v>
      </c>
    </row>
    <row r="53" spans="1:22">
      <c r="B53">
        <f>C52+1</f>
        <v>39487</v>
      </c>
      <c r="D53">
        <f>C53-B53</f>
        <v>-39487</v>
      </c>
      <c r="E53">
        <f>G52</f>
        <v>6175</v>
      </c>
      <c r="F53" t="s">
        <f>H52</f>
        <v>60</v>
      </c>
    </row>
    <row r="55" spans="1:22">
      <c r="A55" t="s">
        <v>62</v>
      </c>
      <c r="C55">
        <v>39094</v>
      </c>
      <c r="O55">
        <f>sum(O56:O75)</f>
        <v>4180.93402748167</v>
      </c>
      <c r="P55" t="s">
        <v>63</v>
      </c>
      <c r="S55">
        <f>sum(S56:S75)</f>
        <v>110.939731075822</v>
      </c>
    </row>
    <row r="56" spans="1:22">
      <c r="B56">
        <f>C55</f>
        <v>39094</v>
      </c>
      <c r="C56">
        <v>39109</v>
      </c>
      <c r="D56">
        <f>C56-B56</f>
        <v>15</v>
      </c>
      <c r="E56">
        <v>6033</v>
      </c>
      <c r="G56">
        <v>6059</v>
      </c>
      <c r="H56" t="s">
        <v>60</v>
      </c>
      <c r="O56">
        <f>(G56-E56)*2.83*1.02264*39.251/3.6</f>
        <v>820.409695958667</v>
      </c>
      <c r="P56">
        <v>3.56</v>
      </c>
      <c r="Q56">
        <f>round(12.526*D56)</f>
        <v>188</v>
      </c>
      <c r="R56">
        <v>2.732</v>
      </c>
      <c r="S56">
        <f>(min($Q56,$O56)*$P56+if($O56&gt;$Q56,($O56-$Q56)*$R56,0))/100</f>
        <v>23.9702328935908</v>
      </c>
      <c r="T56">
        <f>(O56+N56)/D56</f>
        <v>54.6939797305778</v>
      </c>
      <c r="U56">
        <f>S56/D56</f>
        <v>1.59801552623938</v>
      </c>
    </row>
    <row r="57" spans="1:22">
      <c r="B57">
        <f>C56</f>
        <v>39109</v>
      </c>
      <c r="C57">
        <v>39117</v>
      </c>
      <c r="D57">
        <f>C57-B57</f>
        <v>8</v>
      </c>
      <c r="E57">
        <f>G56</f>
        <v>6059</v>
      </c>
      <c r="G57">
        <v>6064</v>
      </c>
      <c r="H57" t="s">
        <v>60</v>
      </c>
      <c r="O57">
        <f>(G57-E57)*2.83*1.02264*39.251/3.6</f>
        <v>157.771095376667</v>
      </c>
      <c r="P57">
        <v>2.979</v>
      </c>
      <c r="Q57">
        <f>round(12.526*D57)</f>
        <v>100</v>
      </c>
      <c r="R57">
        <v>2.192</v>
      </c>
      <c r="S57">
        <f>(min($Q57,$O57)*$P57+if($O57&gt;$Q57,($O57-$Q57)*$R57,0))/100</f>
        <v>4.24534241065653</v>
      </c>
      <c r="T57">
        <f>(O57+N57)/D57</f>
        <v>19.7213869220833</v>
      </c>
      <c r="U57">
        <f>S57/D57</f>
        <v>0.530667801332067</v>
      </c>
      <c r="V57" t="str">
        <v>Instaled wood-burner</v>
      </c>
    </row>
    <row r="58" spans="1:22">
      <c r="B58">
        <f>C57</f>
        <v>39117</v>
      </c>
      <c r="C58">
        <v>39124</v>
      </c>
      <c r="D58">
        <f>C58-B58</f>
        <v>7</v>
      </c>
      <c r="E58">
        <f>G57</f>
        <v>6064</v>
      </c>
      <c r="G58">
        <v>6068</v>
      </c>
      <c r="H58" t="s">
        <v>60</v>
      </c>
      <c r="O58">
        <f>(G58-E58)*2.83*1.02264*39.251/3.6</f>
        <v>126.216876301333</v>
      </c>
      <c r="P58">
        <v>2.979</v>
      </c>
      <c r="Q58">
        <f>round(12.526*D58)</f>
        <v>88</v>
      </c>
      <c r="R58">
        <v>2.192</v>
      </c>
      <c r="S58">
        <f>(min($Q58,$O58)*$P58+if($O58&gt;$Q58,($O58-$Q58)*$R58,0))/100</f>
        <v>3.45923392852523</v>
      </c>
      <c r="T58">
        <f>(O58+N58)/D58</f>
        <v>18.0309823287619</v>
      </c>
      <c r="U58">
        <f>S58/D58</f>
        <v>0.494176275503604</v>
      </c>
    </row>
    <row r="59" spans="1:22">
      <c r="B59">
        <f>C58</f>
        <v>39124</v>
      </c>
      <c r="C59">
        <v>39137</v>
      </c>
      <c r="D59">
        <f>C59-B59</f>
        <v>13</v>
      </c>
      <c r="E59">
        <f>G58</f>
        <v>6068</v>
      </c>
      <c r="G59">
        <v>6071</v>
      </c>
      <c r="H59" t="s">
        <v>60</v>
      </c>
      <c r="O59">
        <f>(G59-E59)*2.83*1.02264*39.251/3.6</f>
        <v>94.662657226</v>
      </c>
      <c r="P59">
        <v>2.979</v>
      </c>
      <c r="Q59">
        <f>round(12.526*D59)</f>
        <v>163</v>
      </c>
      <c r="R59">
        <v>2.192</v>
      </c>
      <c r="S59">
        <f>(min($Q59,$O59)*$P59+if($O59&gt;$Q59,($O59-$Q59)*$R59,0))/100</f>
        <v>2.82000055876254</v>
      </c>
      <c r="T59">
        <f>(O59+N59)/D59</f>
        <v>7.28174286353846</v>
      </c>
      <c r="U59">
        <f>S59/D59</f>
        <v>0.216923119904811</v>
      </c>
    </row>
    <row r="60" spans="1:22">
      <c r="B60">
        <f>C59</f>
        <v>39137</v>
      </c>
      <c r="C60">
        <v>39152</v>
      </c>
      <c r="D60">
        <f>C60-B60</f>
        <v>15</v>
      </c>
      <c r="E60">
        <f>G59</f>
        <v>6071</v>
      </c>
      <c r="G60">
        <v>6074.2</v>
      </c>
      <c r="H60" t="s">
        <v>60</v>
      </c>
      <c r="O60">
        <f>(G60-E60)*2.83*1.02264*39.251/3.6</f>
        <v>100.973501041061</v>
      </c>
      <c r="P60">
        <v>2.979</v>
      </c>
      <c r="Q60">
        <f>round(12.526*D60)</f>
        <v>188</v>
      </c>
      <c r="R60">
        <v>2.192</v>
      </c>
      <c r="S60">
        <f>(min($Q60,$O60)*$P60+if($O60&gt;$Q60,($O60-$Q60)*$R60,0))/100</f>
        <v>3.00800059601321</v>
      </c>
      <c r="T60">
        <f>(O60+N60)/D60</f>
        <v>6.73156673607073</v>
      </c>
      <c r="U60">
        <f>S60/D60</f>
        <v>0.200533373067547</v>
      </c>
      <c r="V60" t="str">
        <v>Pilot light turned off</v>
      </c>
    </row>
    <row r="61" spans="1:22">
      <c r="B61">
        <f>C60</f>
        <v>39152</v>
      </c>
      <c r="C61">
        <v>39205</v>
      </c>
      <c r="D61">
        <f>C61-B61</f>
        <v>53</v>
      </c>
      <c r="E61">
        <f>G60</f>
        <v>6074.2</v>
      </c>
      <c r="G61">
        <v>6075.6</v>
      </c>
      <c r="H61" t="s">
        <v>60</v>
      </c>
      <c r="O61">
        <f>(G61-E61)*2.83*1.02264*39.251/3.6</f>
        <v>44.1759067054839</v>
      </c>
      <c r="P61">
        <v>2.979</v>
      </c>
      <c r="Q61">
        <f>round(12.526*D61)</f>
        <v>664</v>
      </c>
      <c r="R61">
        <v>2.192</v>
      </c>
      <c r="S61">
        <f>(min($Q61,$O61)*$P61+if($O61&gt;$Q61,($O61-$Q61)*$R61,0))/100</f>
        <v>1.31600026075637</v>
      </c>
      <c r="T61">
        <f>(O61+N61)/D61</f>
        <v>0.833507673688375</v>
      </c>
      <c r="U61">
        <f>S61/D61</f>
        <v>0.0248301935991767</v>
      </c>
    </row>
    <row r="62" spans="1:22">
      <c r="B62">
        <f>C61</f>
        <v>39205</v>
      </c>
      <c r="C62">
        <v>39263</v>
      </c>
      <c r="D62">
        <f>C62-B62</f>
        <v>58</v>
      </c>
      <c r="E62">
        <f>G61</f>
        <v>6075.6</v>
      </c>
      <c r="G62">
        <v>6075.9</v>
      </c>
      <c r="H62" t="s">
        <v>60</v>
      </c>
      <c r="O62">
        <f>(G62-E62)*2.83*1.02264*39.251/3.6</f>
        <v>9.46626572257704</v>
      </c>
      <c r="P62">
        <v>2.979</v>
      </c>
      <c r="Q62">
        <f>round(12.526*D62)</f>
        <v>727</v>
      </c>
      <c r="R62">
        <v>2.192</v>
      </c>
      <c r="S62">
        <f>(min($Q62,$O62)*$P62+if($O62&gt;$Q62,($O62-$Q62)*$R62,0))/100</f>
        <v>0.28200005587557</v>
      </c>
      <c r="T62">
        <f>(O62+N62)/D62</f>
        <v>0.163211477975466</v>
      </c>
      <c r="U62">
        <f>S62/D62</f>
        <v>0.00486206992888914</v>
      </c>
    </row>
    <row r="63" spans="1:22">
      <c r="B63">
        <f>C62</f>
        <v>39263</v>
      </c>
      <c r="C63">
        <v>39355</v>
      </c>
      <c r="D63">
        <f>C63-B63</f>
        <v>92</v>
      </c>
      <c r="E63">
        <f>G62</f>
        <v>6075.9</v>
      </c>
      <c r="G63">
        <v>6076.8</v>
      </c>
      <c r="H63" t="s">
        <v>60</v>
      </c>
      <c r="O63">
        <f>(G63-E63)*2.83*1.02264*39.251/3.6</f>
        <v>28.3987971678172</v>
      </c>
      <c r="P63">
        <v>2.979</v>
      </c>
      <c r="Q63">
        <f>round(12.526*D63)</f>
        <v>1152</v>
      </c>
      <c r="R63">
        <v>2.192</v>
      </c>
      <c r="S63">
        <f>(min($Q63,$O63)*$P63+if($O63&gt;$Q63,($O63-$Q63)*$R63,0))/100</f>
        <v>0.846000167629275</v>
      </c>
      <c r="T63">
        <f>(O63+N63)/D63</f>
        <v>0.308682577911057</v>
      </c>
      <c r="U63">
        <f>S63/D63</f>
        <v>0.00919565399597038</v>
      </c>
    </row>
    <row r="64" spans="1:22">
      <c r="B64">
        <f>C63</f>
        <v>39355</v>
      </c>
      <c r="C64">
        <v>39360</v>
      </c>
      <c r="D64">
        <f>C64-B64</f>
        <v>5</v>
      </c>
      <c r="E64">
        <f>G63</f>
        <v>6076.8</v>
      </c>
      <c r="G64">
        <v>6080.7</v>
      </c>
      <c r="H64" t="s">
        <v>60</v>
      </c>
      <c r="O64">
        <f>(G64-E64)*2.83*1.02264*39.251/3.6</f>
        <v>123.061454393789</v>
      </c>
      <c r="P64">
        <v>2.979</v>
      </c>
      <c r="Q64">
        <f>round(12.526*D64)</f>
        <v>63</v>
      </c>
      <c r="R64">
        <v>2.192</v>
      </c>
      <c r="S64">
        <f>(min($Q64,$O64)*$P64+if($O64&gt;$Q64,($O64-$Q64)*$R64,0))/100</f>
        <v>3.19331708031184</v>
      </c>
      <c r="T64">
        <f>(O64+N64)/D64</f>
        <v>24.6122908787577</v>
      </c>
      <c r="U64">
        <f>S64/D64</f>
        <v>0.638663416062369</v>
      </c>
      <c r="V64" t="str">
        <v>Gunde Arrived - heating turned on</v>
      </c>
    </row>
    <row r="65" spans="1:22">
      <c r="B65">
        <f>C64</f>
        <v>39360</v>
      </c>
      <c r="C65">
        <v>39367</v>
      </c>
      <c r="D65">
        <f>C65-B65</f>
        <v>7</v>
      </c>
      <c r="E65">
        <f>G64</f>
        <v>6080.7</v>
      </c>
      <c r="G65">
        <v>6085.5</v>
      </c>
      <c r="H65" t="s">
        <v>60</v>
      </c>
      <c r="O65">
        <f>(G65-E65)*2.83*1.02264*39.251/3.6</f>
        <v>151.460251561606</v>
      </c>
      <c r="P65">
        <v>2.979</v>
      </c>
      <c r="Q65">
        <f>round(12.526*D65)</f>
        <v>88</v>
      </c>
      <c r="R65">
        <v>2.192</v>
      </c>
      <c r="S65">
        <f>(min($Q65,$O65)*$P65+if($O65&gt;$Q65,($O65-$Q65)*$R65,0))/100</f>
        <v>4.0125687142304</v>
      </c>
      <c r="T65">
        <f>(O65+N65)/D65</f>
        <v>21.6371787945151</v>
      </c>
      <c r="U65">
        <f>S65/D65</f>
        <v>0.573224102032914</v>
      </c>
    </row>
    <row r="66" spans="1:22">
      <c r="B66">
        <f>C65</f>
        <v>39367</v>
      </c>
      <c r="C66">
        <v>39374</v>
      </c>
      <c r="D66">
        <f>C66-B66</f>
        <v>7</v>
      </c>
      <c r="E66">
        <f>G65</f>
        <v>6085.5</v>
      </c>
      <c r="G66">
        <v>6090.5</v>
      </c>
      <c r="H66" t="s">
        <v>60</v>
      </c>
      <c r="O66">
        <f>(G66-E66)*2.83*1.02264*39.251/3.6</f>
        <v>157.771095376667</v>
      </c>
      <c r="P66">
        <v>2.979</v>
      </c>
      <c r="Q66">
        <f>round(12.526*D66)</f>
        <v>88</v>
      </c>
      <c r="R66">
        <v>2.192</v>
      </c>
      <c r="S66">
        <f>(min($Q66,$O66)*$P66+if($O66&gt;$Q66,($O66-$Q66)*$R66,0))/100</f>
        <v>4.15090241065653</v>
      </c>
      <c r="T66">
        <f>(O66+N66)/D66</f>
        <v>22.5387279109524</v>
      </c>
      <c r="U66">
        <f>S66/D66</f>
        <v>0.592986058665219</v>
      </c>
    </row>
    <row r="67" spans="1:22">
      <c r="B67">
        <f>C66</f>
        <v>39374</v>
      </c>
      <c r="C67">
        <v>39379</v>
      </c>
      <c r="D67">
        <f>C67-B67</f>
        <v>5</v>
      </c>
      <c r="E67">
        <f>G66</f>
        <v>6090.5</v>
      </c>
      <c r="G67">
        <v>6095.3</v>
      </c>
      <c r="H67" t="s">
        <v>60</v>
      </c>
      <c r="O67">
        <f>(G67-E67)*2.83*1.02264*39.251/3.6</f>
        <v>151.460251561606</v>
      </c>
      <c r="P67">
        <v>2.979</v>
      </c>
      <c r="Q67">
        <f>round(12.526*D67)</f>
        <v>63</v>
      </c>
      <c r="R67">
        <v>2.192</v>
      </c>
      <c r="S67">
        <f>(min($Q67,$O67)*$P67+if($O67&gt;$Q67,($O67-$Q67)*$R67,0))/100</f>
        <v>3.8158187142304</v>
      </c>
      <c r="T67">
        <f>(O67+N67)/D67</f>
        <v>30.2920503123211</v>
      </c>
      <c r="U67">
        <f>S67/D67</f>
        <v>0.763163742846079</v>
      </c>
    </row>
    <row r="68" spans="1:22">
      <c r="B68">
        <f>C67</f>
        <v>39379</v>
      </c>
      <c r="C68">
        <v>39386</v>
      </c>
      <c r="D68">
        <f>C68-B68</f>
        <v>7</v>
      </c>
      <c r="E68">
        <f>G67</f>
        <v>6095.3</v>
      </c>
      <c r="G68">
        <v>6102.6</v>
      </c>
      <c r="H68" t="s">
        <v>60</v>
      </c>
      <c r="O68">
        <f>(G68-E68)*2.83*1.02264*39.251/3.6</f>
        <v>230.345799249939</v>
      </c>
      <c r="P68">
        <v>2.979</v>
      </c>
      <c r="Q68">
        <f>round(12.526*D68)</f>
        <v>88</v>
      </c>
      <c r="R68">
        <v>2.192</v>
      </c>
      <c r="S68">
        <f>(min($Q68,$O68)*$P68+if($O68&gt;$Q68,($O68-$Q68)*$R68,0))/100</f>
        <v>5.74173991955866</v>
      </c>
      <c r="T68">
        <f>(O68+N68)/D68</f>
        <v>32.9065427499913</v>
      </c>
      <c r="U68">
        <f>S68/D68</f>
        <v>0.820248559936952</v>
      </c>
    </row>
    <row r="69" spans="1:22">
      <c r="B69">
        <f>C68</f>
        <v>39386</v>
      </c>
      <c r="C69">
        <v>39393</v>
      </c>
      <c r="D69">
        <f>C69-B69</f>
        <v>7</v>
      </c>
      <c r="E69">
        <f>G68</f>
        <v>6102.6</v>
      </c>
      <c r="G69">
        <v>6110.9</v>
      </c>
      <c r="H69" t="s">
        <v>60</v>
      </c>
      <c r="O69">
        <f>(G69-E69)*2.83*1.02264*39.251/3.6</f>
        <v>261.900018325244</v>
      </c>
      <c r="P69">
        <v>2.979</v>
      </c>
      <c r="Q69">
        <f>round(12.526*D69)</f>
        <v>88</v>
      </c>
      <c r="R69">
        <v>2.192</v>
      </c>
      <c r="S69">
        <f>(min($Q69,$O69)*$P69+if($O69&gt;$Q69,($O69-$Q69)*$R69,0))/100</f>
        <v>6.43340840168934</v>
      </c>
      <c r="T69">
        <f>(O69+N69)/D69</f>
        <v>37.4142883321777</v>
      </c>
      <c r="U69">
        <f>S69/D69</f>
        <v>0.919058343098477</v>
      </c>
    </row>
    <row r="70" spans="1:22">
      <c r="B70">
        <f>C69</f>
        <v>39393</v>
      </c>
      <c r="C70">
        <v>39400</v>
      </c>
      <c r="D70">
        <f>C70-B70</f>
        <v>7</v>
      </c>
      <c r="E70">
        <f>G69</f>
        <v>6110.9</v>
      </c>
      <c r="G70">
        <v>6119.7</v>
      </c>
      <c r="H70" t="s">
        <v>60</v>
      </c>
      <c r="O70">
        <f>(G70-E70)*2.83*1.02264*39.251/3.6</f>
        <v>277.677127862939</v>
      </c>
      <c r="P70">
        <v>2.979</v>
      </c>
      <c r="Q70">
        <f>round(12.526*D70)</f>
        <v>88</v>
      </c>
      <c r="R70">
        <v>2.192</v>
      </c>
      <c r="S70">
        <f>(min($Q70,$O70)*$P70+if($O70&gt;$Q70,($O70-$Q70)*$R70,0))/100</f>
        <v>6.77924264275562</v>
      </c>
      <c r="T70">
        <f>(O70+N70)/D70</f>
        <v>39.668161123277</v>
      </c>
      <c r="U70">
        <f>S70/D70</f>
        <v>0.968463234679375</v>
      </c>
      <c r="V70"/>
    </row>
    <row r="71" spans="1:22">
      <c r="B71">
        <f>C70</f>
        <v>39400</v>
      </c>
      <c r="C71">
        <v>39409</v>
      </c>
      <c r="D71">
        <f>C71-B71</f>
        <v>9</v>
      </c>
      <c r="E71">
        <f>G70</f>
        <v>6119.7</v>
      </c>
      <c r="G71">
        <v>6129.8</v>
      </c>
      <c r="H71" t="s">
        <v>60</v>
      </c>
      <c r="O71">
        <f>(G71-E71)*2.83*1.02264*39.251/3.6</f>
        <v>318.697612660878</v>
      </c>
      <c r="P71">
        <v>2.979</v>
      </c>
      <c r="Q71">
        <f>round(12.526*D71)</f>
        <v>113</v>
      </c>
      <c r="R71">
        <v>2.192</v>
      </c>
      <c r="S71">
        <f>(min($Q71,$O71)*$P71+if($O71&gt;$Q71,($O71-$Q71)*$R71,0))/100</f>
        <v>7.87516166952645</v>
      </c>
      <c r="T71">
        <f>(O71+N71)/D71</f>
        <v>35.4108458512087</v>
      </c>
      <c r="U71">
        <f>S71/D71</f>
        <v>0.875017963280716</v>
      </c>
      <c r="V71" t="str">
        <v>Gunde Left</v>
      </c>
    </row>
    <row r="72" spans="1:22">
      <c r="B72">
        <f>C71</f>
        <v>39409</v>
      </c>
      <c r="C72">
        <v>39426</v>
      </c>
      <c r="D72">
        <f>C72-B72</f>
        <v>17</v>
      </c>
      <c r="E72">
        <f>G71</f>
        <v>6129.8</v>
      </c>
      <c r="G72">
        <v>6146.9</v>
      </c>
      <c r="H72" t="s">
        <v>60</v>
      </c>
      <c r="O72">
        <f>(G72-E72)*2.83*1.02264*39.251/3.6</f>
        <v>539.577146188183</v>
      </c>
      <c r="P72">
        <v>2.979</v>
      </c>
      <c r="Q72">
        <f>round(12.526*D72)</f>
        <v>213</v>
      </c>
      <c r="R72">
        <v>2.192</v>
      </c>
      <c r="S72">
        <f>(min($Q72,$O72)*$P72+if($O72&gt;$Q72,($O72-$Q72)*$R72,0))/100</f>
        <v>13.503841044445</v>
      </c>
      <c r="T72">
        <f>(O72+N72)/D72</f>
        <v>31.7398321287166</v>
      </c>
      <c r="U72">
        <f>S72/D72</f>
        <v>0.794343590849704</v>
      </c>
    </row>
    <row r="73" spans="1:22">
      <c r="B73">
        <f>C72</f>
        <v>39426</v>
      </c>
      <c r="C73">
        <v>39434</v>
      </c>
      <c r="D73">
        <f>C73-B73</f>
        <v>8</v>
      </c>
      <c r="E73">
        <f>G72</f>
        <v>6146.9</v>
      </c>
      <c r="G73">
        <v>6154.5</v>
      </c>
      <c r="H73" t="s">
        <v>60</v>
      </c>
      <c r="O73">
        <f>(G73-E73)*2.83*1.02264*39.251/3.6</f>
        <v>239.812064972545</v>
      </c>
      <c r="P73">
        <v>2.979</v>
      </c>
      <c r="Q73">
        <f>round(12.526*D73)</f>
        <v>100</v>
      </c>
      <c r="R73">
        <v>2.192</v>
      </c>
      <c r="S73">
        <f>(min($Q73,$O73)*$P73+if($O73&gt;$Q73,($O73-$Q73)*$R73,0))/100</f>
        <v>6.04368046419818</v>
      </c>
      <c r="T73">
        <f>(O73+N73)/D73</f>
        <v>29.9765081215681</v>
      </c>
      <c r="U73">
        <f>S73/D73</f>
        <v>0.755460058024773</v>
      </c>
    </row>
    <row r="74" spans="1:22">
      <c r="B74">
        <f>C73</f>
        <v>39434</v>
      </c>
      <c r="C74">
        <v>39454</v>
      </c>
      <c r="D74">
        <f>C74-B74</f>
        <v>20</v>
      </c>
      <c r="E74">
        <f>G73</f>
        <v>6154.5</v>
      </c>
      <c r="G74">
        <v>6159.1</v>
      </c>
      <c r="H74" t="s">
        <v>60</v>
      </c>
      <c r="O74">
        <f>(G74-E74)*2.83*1.02264*39.251/3.6</f>
        <v>145.149407746545</v>
      </c>
      <c r="P74">
        <v>2.979</v>
      </c>
      <c r="Q74">
        <f>round(12.526*D74)</f>
        <v>251</v>
      </c>
      <c r="R74">
        <v>2.192</v>
      </c>
      <c r="S74">
        <f>(min($Q74,$O74)*$P74+if($O74&gt;$Q74,($O74-$Q74)*$R74,0))/100</f>
        <v>4.32400085676957</v>
      </c>
      <c r="T74">
        <f>(O74+N74)/D74</f>
        <v>7.25747038732724</v>
      </c>
      <c r="U74">
        <f>S74/D74</f>
        <v>0.216200042838478</v>
      </c>
      <c r="V74" t="str">
        <v>New boiler working 2007-12-21</v>
      </c>
    </row>
    <row r="75" spans="1:22">
      <c r="B75">
        <f>C74</f>
        <v>39454</v>
      </c>
      <c r="C75">
        <v>39461</v>
      </c>
      <c r="D75">
        <f>C75-B75</f>
        <v>7</v>
      </c>
      <c r="E75">
        <f>G74</f>
        <v>6159.1</v>
      </c>
      <c r="G75">
        <v>6165.5</v>
      </c>
      <c r="H75" t="s">
        <v>60</v>
      </c>
      <c r="O75">
        <f>(G75-E75)*2.83*1.02264*39.251/3.6</f>
        <v>201.947002082122</v>
      </c>
      <c r="P75">
        <v>2.979</v>
      </c>
      <c r="Q75">
        <f>round(12.526*D75)</f>
        <v>88</v>
      </c>
      <c r="R75">
        <v>2.192</v>
      </c>
      <c r="S75">
        <f>(min($Q75,$O75)*$P75+if($O75&gt;$Q75,($O75-$Q75)*$R75,0))/100</f>
        <v>5.11923828564011</v>
      </c>
      <c r="T75">
        <f>(O75+N75)/D75</f>
        <v>28.8495717260174</v>
      </c>
      <c r="U75">
        <f>S75/D75</f>
        <v>0.731319755091444</v>
      </c>
      <c r="V75" t="str">
        <v>No woodburner - 2days all-day heating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" bottom="1" header="0.5906" footer="0.3937"/>
  <pageSetup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topLeftCell="A8" workbookViewId="0">
      <selection activeCell="A1" sqref="A1"/>
    </sheetView>
  </sheetViews>
  <sheetFormatPr defaultRowHeight="12.75"/>
  <sheetData/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7.xml><?xml version="1.0" encoding="utf-8"?>
<worksheet xmlns="http://schemas.openxmlformats.org/spreadsheetml/2006/main" xmlns:r="http://schemas.openxmlformats.org/officeDocument/2006/relationships">
  <dimension ref="C1:M131"/>
  <sheetViews>
    <sheetView topLeftCell="B36" workbookViewId="0">
      <pane xSplit="4" topLeftCell="J1" activePane="topRight" state="frozen"/>
      <selection pane="topRight" activeCell="L58" sqref="L58"/>
    </sheetView>
  </sheetViews>
  <sheetFormatPr defaultRowHeight="12.75"/>
  <cols>
    <col min="1" max="2" width="4.571154" customWidth="1"/>
    <col min="3" max="3" width="7.285276" customWidth="1"/>
    <col min="4" max="4" width="4.856851" customWidth="1"/>
    <col min="5" max="5" width="32.98849" customWidth="1"/>
    <col min="6" max="6" width="40.28329" customWidth="1"/>
    <col min="7" max="7" width="13.14207" customWidth="1"/>
    <col min="8" max="8" width="13.99916" customWidth="1"/>
    <col min="10" max="10" width="15.71334" customWidth="1"/>
    <col min="11" max="11" width="15.85619" customWidth="1"/>
    <col min="12" max="12" width="39.27383" customWidth="1"/>
    <col min="13" max="13" width="32.72184" customWidth="1"/>
  </cols>
  <sheetData>
    <row r="1" spans="3:13">
      <c r="E1" t="str">
        <v>Parts, prices, suppliers</v>
      </c>
      <c r="H1" t="s">
        <v>64</v>
      </c>
      <c r="J1" t="str">
        <v>PHE for water+solar</v>
      </c>
      <c r="K1" t="str">
        <v>PHE for DHW only</v>
      </c>
    </row>
    <row r="2" spans="3:13">
      <c r="E2" t="s">
        <v>65</v>
      </c>
      <c r="H2">
        <f>H3+H4+H5</f>
        <v>2128.83</v>
      </c>
      <c r="J2">
        <f>J3+J4+J5</f>
        <v>1936.8605</v>
      </c>
      <c r="K2">
        <f>K3+K4+K5</f>
        <v>2055.66625</v>
      </c>
    </row>
    <row r="3" spans="3:13">
      <c r="C3"/>
      <c r="E3" t="str">
        <v>Solar Circuit, 20 tubes</v>
      </c>
      <c r="F3"/>
      <c r="H3">
        <f>$H$39+$H$40+$H$41+$H$44+$H$45+$H$46+$H$48+$H$49+$H$50+$H$53+$H$54</f>
        <v>627.05</v>
      </c>
      <c r="J3">
        <f>$H$39+$H$40+$H$41+$H$44+$H$45+$H$46+$H$48+$H$49+$H$50+$H$53+$H$54+$H$59+$H$60</f>
        <v>669.41325</v>
      </c>
      <c r="K3">
        <f>$H$39+$H$40+$H$41+$H$44+$H$45+$H$46+$H$48+$H$49+$H$50+$H$53+$H$54</f>
        <v>627.05</v>
      </c>
    </row>
    <row r="4" spans="3:13">
      <c r="E4" t="s">
        <v>66</v>
      </c>
      <c r="H4">
        <f>$H71</f>
        <v>758</v>
      </c>
      <c r="J4">
        <f>$H$75+58+$H$80+$H$81+$H$82+$H$83+$H$116</f>
        <v>523.66725</v>
      </c>
      <c r="K4">
        <f>$H$70+$H$80+$H$81+$H$82+$H$83+58+$H$116</f>
        <v>684.83625</v>
      </c>
    </row>
    <row r="5" spans="3:13">
      <c r="E5" t="s">
        <v>67</v>
      </c>
      <c r="H5">
        <f>$H$91+$H$92</f>
        <v>743.78</v>
      </c>
      <c r="J5">
        <f>$H$91+$H$92</f>
        <v>743.78</v>
      </c>
      <c r="K5">
        <f>$H$91+$H$92</f>
        <v>743.78</v>
      </c>
    </row>
    <row r="7" spans="3:13">
      <c r="E7" t="s">
        <v>65</v>
      </c>
      <c r="H7">
        <f>H8+H9+H10</f>
        <v>2224.7965</v>
      </c>
      <c r="J7">
        <f>J8+J9+J10</f>
        <v>2256.4605</v>
      </c>
      <c r="K7">
        <f>K8+K9+K10</f>
        <v>2375.26625</v>
      </c>
    </row>
    <row r="8" spans="3:13">
      <c r="E8" t="s">
        <v>68</v>
      </c>
      <c r="F8"/>
      <c r="H8">
        <f>$H$39*2+$H$40+$H$41+$H$44+$H$45+$H$46+$H$48+$H$49+$H$50+$H$53+$H$54</f>
        <v>946.65</v>
      </c>
      <c r="J8">
        <f>$H$39*2+$H$40+$H$41+$H$44+$H$45+$H$46+$H$48+$H$49+$H$50+$H$53+$H$54+$H$59+$H$60</f>
        <v>989.01325</v>
      </c>
      <c r="K8">
        <f>$H$39*2+$H$40+$H$41+$H$44+$H$45+$H$46+$H$48+$H$49+$H$50+$H$53+$H$54</f>
        <v>946.65</v>
      </c>
    </row>
    <row r="9" spans="3:13">
      <c r="E9" t="s">
        <v>66</v>
      </c>
      <c r="H9">
        <f>$H76</f>
        <v>534.3665</v>
      </c>
      <c r="J9">
        <f>$H$75+58+$H$80+$H$81+$H$82+$H$83+$H$116</f>
        <v>523.66725</v>
      </c>
      <c r="K9">
        <f>$H$70+$H$80+$H$81+$H$82+$H$83+58+$H$116</f>
        <v>684.83625</v>
      </c>
    </row>
    <row r="10" spans="3:13">
      <c r="E10" t="s">
        <v>67</v>
      </c>
      <c r="H10">
        <f>$H$91+$H$92</f>
        <v>743.78</v>
      </c>
      <c r="J10">
        <f>$H$91+$H$92</f>
        <v>743.78</v>
      </c>
      <c r="K10">
        <f>$H$91+$H$92</f>
        <v>743.78</v>
      </c>
    </row>
    <row r="12" spans="3:13">
      <c r="E12" t="str">
        <v>DHW+heating, vented</v>
      </c>
      <c r="J12">
        <f>J13+J14+J15</f>
        <v>2559.5495</v>
      </c>
      <c r="K12">
        <f>K13+K14+K15</f>
        <v>2601.14</v>
      </c>
    </row>
    <row r="13" spans="3:13">
      <c r="E13" t="s">
        <v>68</v>
      </c>
      <c r="J13">
        <f>$H$39*2+$H$40+$H$41+$H$44+$H$45+$H$46+$H$48+$H$49+$H$50+$H$53+$H$54+$H$59+$H$60</f>
        <v>989.01325</v>
      </c>
      <c r="K13">
        <f>$H$39*2+$H$40+$H$41+$H$44+$H$45+$H$46+$H$48+$H$49+$H$50+$H$53+$H$54</f>
        <v>946.65</v>
      </c>
    </row>
    <row r="14" spans="3:13">
      <c r="E14" t="s">
        <v>66</v>
      </c>
      <c r="J14">
        <f>$H$76+$H$80+$H$81+$H$82*3+$H$83+$H$116+$H$114*6+$H$113+$H$112*9</f>
        <v>826.75625</v>
      </c>
      <c r="K14">
        <f>$H$77+$H$80+$H$81+$H$82*3+$H$83+$H$116+$H$114*6+$H$113+$H$112*9</f>
        <v>910.71</v>
      </c>
    </row>
    <row r="15" spans="3:13">
      <c r="E15" t="s">
        <v>67</v>
      </c>
      <c r="J15">
        <f>$H$91+$H$92</f>
        <v>743.78</v>
      </c>
      <c r="K15">
        <f>$H$91+$H$92</f>
        <v>743.78</v>
      </c>
    </row>
    <row r="17" spans="3:13">
      <c r="E17" t="str">
        <v>DHW+heating, vented, DPS</v>
      </c>
      <c r="F17" t="str">
        <v>DPS: solar coil, inc anti-vacum, strainer</v>
      </c>
      <c r="K17">
        <f>K18+K19+K20</f>
        <v>3200.305</v>
      </c>
    </row>
    <row r="18" spans="3:13">
      <c r="E18" t="s">
        <v>68</v>
      </c>
      <c r="K18">
        <f>$H$39*2+$H$40+$H$41+$H$44+$H$45+$H$46+$H$48+$H$49+$H$50+$H$53+$H$54</f>
        <v>946.65</v>
      </c>
    </row>
    <row r="19" spans="3:13">
      <c r="E19" t="s">
        <v>66</v>
      </c>
      <c r="K19">
        <f>(1385-100)*1.175</f>
        <v>1509.875</v>
      </c>
    </row>
    <row r="20" spans="3:13">
      <c r="E20" t="s">
        <v>67</v>
      </c>
      <c r="K20">
        <f>$H$91+$H$92</f>
        <v>743.78</v>
      </c>
    </row>
    <row r="22" spans="3:13">
      <c r="E22" t="str">
        <v>DHW+heating, combi</v>
      </c>
      <c r="J22">
        <f>J23+J24+J25</f>
        <v>2794.83675</v>
      </c>
    </row>
    <row r="23" spans="3:13">
      <c r="E23" t="s">
        <v>68</v>
      </c>
      <c r="J23">
        <f>$H$39*2+$H$40+$H$41+$H$44+$H$45+$H$46+$H$48+$H$49+$H$50+$H$53+$H$54+$H$59+$H$60</f>
        <v>989.01325</v>
      </c>
    </row>
    <row r="24" spans="3:13">
      <c r="E24" t="s">
        <v>66</v>
      </c>
      <c r="J24">
        <f>$H$78+$H$80+$H$81+$H$82+$H$84+$H$86+$H$63*2+$H$116</f>
        <v>885.2135</v>
      </c>
    </row>
    <row r="25" spans="3:13">
      <c r="E25" t="s">
        <v>67</v>
      </c>
      <c r="J25">
        <f>$H$99+$H$101</f>
        <v>920.61</v>
      </c>
    </row>
    <row r="27" spans="3:13">
      <c r="E27" t="str">
        <v>DHW+heating, combi, DPS</v>
      </c>
      <c r="K27">
        <f>K28+K29+K30</f>
        <v>3025.81</v>
      </c>
    </row>
    <row r="28" spans="3:13">
      <c r="E28" t="s">
        <v>68</v>
      </c>
      <c r="K28">
        <f>$H$39*2+$H$40+$H$41+$H$44+$H$45+$H$46+$H$48+$H$49+$H$50+$H$53+$H$54</f>
        <v>946.65</v>
      </c>
    </row>
    <row r="29" spans="3:13">
      <c r="E29" t="s">
        <v>66</v>
      </c>
      <c r="K29">
        <f>986*1.175</f>
        <v>1158.55</v>
      </c>
    </row>
    <row r="30" spans="3:13">
      <c r="E30" t="s">
        <v>67</v>
      </c>
      <c r="K30">
        <f>$H$99+$H$101</f>
        <v>920.61</v>
      </c>
    </row>
    <row r="35" spans="3:13">
      <c r="C35" t="str">
        <v>ref</v>
      </c>
      <c r="E35" t="s">
        <v>69</v>
      </c>
      <c r="F35" t="str">
        <v>spec</v>
      </c>
      <c r="G35" t="str">
        <v>supplier</v>
      </c>
      <c r="H35" t="s">
        <v>53</v>
      </c>
      <c r="J35" t="str">
        <v>part number</v>
      </c>
      <c r="K35" t="s">
        <v>49</v>
      </c>
      <c r="L35" t="str">
        <v>URL</v>
      </c>
      <c r="M35" t="str">
        <v>Datasheet/info</v>
      </c>
    </row>
    <row r="37" spans="3:13">
      <c r="C37" t="str">
        <v>Solar</v>
      </c>
      <c r="E37" t="s">
        <v>70</v>
      </c>
      <c r="G37" t="s">
        <v>71</v>
      </c>
      <c r="H37">
        <v>395</v>
      </c>
    </row>
    <row r="38" spans="3:13">
      <c r="E38" t="str">
        <v>fitting kit</v>
      </c>
      <c r="G38" t="s">
        <v>71</v>
      </c>
      <c r="H38">
        <v>9.5</v>
      </c>
    </row>
    <row r="39" spans="3:13">
      <c r="D39" t="s">
        <v>72</v>
      </c>
      <c r="E39" t="s">
        <v>70</v>
      </c>
      <c r="G39" t="s">
        <v>73</v>
      </c>
      <c r="H39">
        <v>319.6</v>
      </c>
      <c r="J39" t="str">
        <v>47-1500-20</v>
      </c>
      <c r="K39" t="str">
        <v>chinese</v>
      </c>
      <c r="L39" t="str">
        <v>http://eco-nomical.co.uk/SolarWaterProduct.htm</v>
      </c>
    </row>
    <row r="40" spans="3:13">
      <c r="D40" t="s">
        <v>72</v>
      </c>
      <c r="E40" t="str">
        <v>fitting straps, stainless</v>
      </c>
      <c r="F40" t="str">
        <v>9mm holes</v>
      </c>
      <c r="G40" t="s">
        <v>73</v>
      </c>
      <c r="H40">
        <f>2.77*4</f>
        <v>11.08</v>
      </c>
    </row>
    <row r="41" spans="3:13">
      <c r="E41" t="s">
        <v>74</v>
      </c>
      <c r="F41" t="str">
        <v>35m coil</v>
      </c>
      <c r="G41" t="s">
        <v>75</v>
      </c>
      <c r="H41">
        <f>35.6*1.175</f>
        <v>41.83</v>
      </c>
      <c r="J41">
        <v>6941</v>
      </c>
      <c r="L41" t="str">
        <v>http://www.bes.co.uk/products/139.asp</v>
      </c>
    </row>
    <row r="42" spans="3:13">
      <c r="E42" t="s">
        <v>74</v>
      </c>
      <c r="F42" t="str">
        <v>10m coil</v>
      </c>
      <c r="G42" t="s">
        <v>71</v>
      </c>
    </row>
    <row r="43" spans="3:13">
      <c r="D43" t="s">
        <v>72</v>
      </c>
      <c r="E43" t="s">
        <v>74</v>
      </c>
      <c r="F43" t="str">
        <v>25m coil</v>
      </c>
      <c r="G43" t="str">
        <v>screwfix</v>
      </c>
      <c r="H43">
        <v>36</v>
      </c>
    </row>
    <row r="44" spans="3:13">
      <c r="D44" t="s">
        <v>72</v>
      </c>
      <c r="E44" t="str">
        <v>HT armaflex 10mm</v>
      </c>
      <c r="F44" t="str">
        <v>10m</v>
      </c>
      <c r="G44" t="s">
        <v>71</v>
      </c>
      <c r="H44">
        <f>3.05*10</f>
        <v>30.5</v>
      </c>
    </row>
    <row r="45" spans="3:13">
      <c r="D45" t="s">
        <v>72</v>
      </c>
      <c r="E45" t="s">
        <v>76</v>
      </c>
      <c r="F45" t="str">
        <v>18l</v>
      </c>
      <c r="G45" t="s">
        <v>73</v>
      </c>
      <c r="H45">
        <v>36.72</v>
      </c>
      <c r="K45" t="str">
        <v>Zilmet</v>
      </c>
    </row>
    <row r="46" spans="3:13">
      <c r="D46" t="s">
        <v>72</v>
      </c>
      <c r="E46" t="str">
        <v>Exp tank fitting kit</v>
      </c>
      <c r="F46" t="str">
        <v>bracket, 500mm stainless flex (3/4"BSP F, QR valve</v>
      </c>
      <c r="G46" t="s">
        <v>73</v>
      </c>
      <c r="H46">
        <v>22.03</v>
      </c>
    </row>
    <row r="47" spans="3:13">
      <c r="E47" t="s">
        <v>77</v>
      </c>
      <c r="F47" t="s">
        <v>78</v>
      </c>
      <c r="G47" t="s">
        <v>50</v>
      </c>
      <c r="H47">
        <v>22</v>
      </c>
      <c r="J47" t="str">
        <v>+ £21 delivery</v>
      </c>
    </row>
    <row r="48" spans="3:13">
      <c r="E48" t="s">
        <v>77</v>
      </c>
      <c r="F48" t="s">
        <v>78</v>
      </c>
      <c r="G48" t="s">
        <v>73</v>
      </c>
      <c r="H48">
        <v>17.63</v>
      </c>
    </row>
    <row r="49" spans="3:13">
      <c r="E49" t="str">
        <v>High temp air bleed valve</v>
      </c>
      <c r="F49" t="str">
        <v>3/8" BSP M, F</v>
      </c>
      <c r="G49" t="s">
        <v>73</v>
      </c>
      <c r="H49">
        <v>29.38</v>
      </c>
    </row>
    <row r="50" spans="3:13">
      <c r="E50" t="str">
        <v>pump 12V 1.3A Craig</v>
      </c>
      <c r="F50" t="str">
        <v>Brushless,20mm OD spigot</v>
      </c>
      <c r="G50" t="str">
        <v>ebay - easy_flow_pumps</v>
      </c>
      <c r="H50">
        <f>59+5</f>
        <v>64</v>
      </c>
      <c r="J50" t="str">
        <v>inc £4 delivery and £5connectors</v>
      </c>
      <c r="K50" t="str">
        <v>Daviescraig</v>
      </c>
      <c r="L50" t="str">
        <v>http://myworld.ebay.co.uk/easy_flow_pumps/</v>
      </c>
      <c r="M50" t="str">
        <v>http://www.daviescraig.com.au/main/display.asp?pid=27</v>
      </c>
    </row>
    <row r="51" spans="3:13">
      <c r="E51" t="str">
        <v>12V supply</v>
      </c>
      <c r="G51" t="str">
        <v>ebay - imikhan786</v>
      </c>
      <c r="H51">
        <v>13</v>
      </c>
      <c r="L51" t="str">
        <v>http://search.ebay.co.uk/_W0QQsassZimikhan786</v>
      </c>
    </row>
    <row r="52" spans="3:13">
      <c r="E52" t="s">
        <v>79</v>
      </c>
      <c r="G52" t="s">
        <v>73</v>
      </c>
      <c r="H52">
        <v>25.56</v>
      </c>
    </row>
    <row r="53" spans="3:13">
      <c r="D53" t="s">
        <v>72</v>
      </c>
      <c r="E53" t="s">
        <v>79</v>
      </c>
      <c r="G53" t="s">
        <v>71</v>
      </c>
      <c r="H53">
        <v>25</v>
      </c>
    </row>
    <row r="54" spans="3:13">
      <c r="D54" t="s">
        <v>72</v>
      </c>
      <c r="E54" t="str">
        <v>Fill/drain valves</v>
      </c>
      <c r="F54" t="str">
        <v>15mm OD barbs 1/2" BSP F 3/4" BSP M</v>
      </c>
      <c r="G54" t="s">
        <v>73</v>
      </c>
      <c r="H54">
        <v>29.28</v>
      </c>
    </row>
    <row r="55" spans="3:13">
      <c r="E55" t="str">
        <v>Pressurised kit</v>
      </c>
      <c r="H55">
        <v>69</v>
      </c>
      <c r="J55">
        <f>H45+H46+H54</f>
        <v>88.03</v>
      </c>
    </row>
    <row r="56" spans="3:13">
      <c r="E56" t="str">
        <v>20mmrubber/10mm brass fittings</v>
      </c>
    </row>
    <row r="57" spans="3:13">
      <c r="D57" t="s">
        <v>72</v>
      </c>
      <c r="E57" t="s">
        <v>80</v>
      </c>
      <c r="F57" t="s">
        <v>81</v>
      </c>
      <c r="G57" t="s">
        <v>82</v>
      </c>
      <c r="H57">
        <v>40</v>
      </c>
    </row>
    <row r="58" spans="3:13">
      <c r="E58" t="s">
        <v>80</v>
      </c>
      <c r="F58" t="str">
        <v>Vaillant 06-4950</v>
      </c>
      <c r="G58" t="s">
        <v>83</v>
      </c>
      <c r="H58">
        <f>(31.9+7.99)*1.175</f>
        <v>46.87075</v>
      </c>
      <c r="J58" t="str">
        <v>HE113</v>
      </c>
      <c r="K58" t="s">
        <v>81</v>
      </c>
      <c r="L58" t="str">
        <v>http://abcotuk.co.uk/Product.asp?ProductId=P217&amp;Catid=C2</v>
      </c>
    </row>
    <row r="59" spans="3:13">
      <c r="E59" t="s">
        <v>80</v>
      </c>
      <c r="F59" t="str">
        <v>Vaillant </v>
      </c>
      <c r="G59" t="s">
        <v>83</v>
      </c>
      <c r="H59">
        <f>29.9*1.15</f>
        <v>34.385</v>
      </c>
      <c r="J59" t="str">
        <v>HE110</v>
      </c>
    </row>
    <row r="60" spans="3:13">
      <c r="D60" t="s">
        <v>72</v>
      </c>
      <c r="E60" t="str">
        <v>PHE fittings</v>
      </c>
      <c r="F60" t="str">
        <v>15mm elbow*2+Tee</v>
      </c>
      <c r="H60">
        <f>(2.07+1.14*3+0.65*2)*1.175</f>
        <v>7.97825</v>
      </c>
    </row>
    <row r="61" spans="3:13">
      <c r="E61" t="s">
        <v>84</v>
      </c>
      <c r="F61" t="s">
        <v>85</v>
      </c>
      <c r="G61" t="s">
        <v>86</v>
      </c>
      <c r="H61">
        <v>63.48</v>
      </c>
      <c r="J61" t="s">
        <v>87</v>
      </c>
    </row>
    <row r="62" spans="3:13">
      <c r="E62" t="s">
        <v>88</v>
      </c>
      <c r="F62" t="s">
        <v>89</v>
      </c>
      <c r="G62" t="s">
        <v>87</v>
      </c>
      <c r="H62">
        <v>45</v>
      </c>
      <c r="J62" t="s">
        <v>87</v>
      </c>
    </row>
    <row r="63" spans="3:13">
      <c r="E63" t="s">
        <v>84</v>
      </c>
      <c r="F63" t="s">
        <v>85</v>
      </c>
      <c r="G63" t="s">
        <v>82</v>
      </c>
      <c r="H63">
        <v>40</v>
      </c>
    </row>
    <row r="64" spans="3:13">
      <c r="E64" t="s">
        <v>88</v>
      </c>
      <c r="F64" t="s">
        <v>89</v>
      </c>
      <c r="G64" t="s">
        <v>82</v>
      </c>
      <c r="H64">
        <v>30</v>
      </c>
    </row>
    <row r="65" spans="3:13">
      <c r="E65" t="s">
        <v>88</v>
      </c>
      <c r="F65" t="s">
        <v>89</v>
      </c>
      <c r="G65" t="s">
        <v>90</v>
      </c>
      <c r="H65">
        <f>22.9*1.175</f>
        <v>26.9075</v>
      </c>
      <c r="K65" t="str">
        <v>ORKLI</v>
      </c>
      <c r="L65" t="str">
        <v>http://www.abcotuk.co.uk/Product.asp?ProductId=P536&amp;Catid=C2</v>
      </c>
    </row>
    <row r="66" spans="3:13">
      <c r="E66" t="s">
        <v>84</v>
      </c>
      <c r="G66" t="s">
        <v>90</v>
      </c>
    </row>
    <row r="67" spans="3:13">
      <c r="E67" t="str">
        <v>solenoid valve</v>
      </c>
      <c r="G67" t="s">
        <v>86</v>
      </c>
      <c r="H67">
        <v>45</v>
      </c>
    </row>
    <row r="68" spans="3:13">
      <c r="E68" t="str">
        <v>Anti-scale device</v>
      </c>
      <c r="H68">
        <v>50</v>
      </c>
    </row>
    <row r="70" spans="3:13">
      <c r="C70" t="str">
        <v>Tank</v>
      </c>
      <c r="E70" t="str">
        <v>tank 123l twin coil</v>
      </c>
      <c r="F70" t="str">
        <v>1050*400, 75mm insul</v>
      </c>
      <c r="G70" t="s">
        <v>71</v>
      </c>
      <c r="H70">
        <v>428</v>
      </c>
    </row>
    <row r="71" spans="3:13">
      <c r="E71" t="str">
        <v>123l thermal store, twin coil</v>
      </c>
      <c r="F71" t="s">
        <v>91</v>
      </c>
      <c r="G71" t="s">
        <v>71</v>
      </c>
      <c r="H71">
        <v>758</v>
      </c>
    </row>
    <row r="72" spans="3:13">
      <c r="E72" t="str">
        <v>tank 210l, twin coil</v>
      </c>
      <c r="F72" t="str">
        <v>1800x400,75mminsul</v>
      </c>
      <c r="G72" t="s">
        <v>71</v>
      </c>
      <c r="H72">
        <v>498</v>
      </c>
    </row>
    <row r="73" spans="3:13">
      <c r="E73" t="str">
        <v>210l thermal store, twin coil</v>
      </c>
      <c r="F73" t="s">
        <v>91</v>
      </c>
      <c r="G73" t="s">
        <v>71</v>
      </c>
      <c r="H73">
        <v>818</v>
      </c>
    </row>
    <row r="74" spans="3:13">
      <c r="E74" t="s">
        <v>92</v>
      </c>
      <c r="F74" t="str">
        <v>1500x450, 75mm ins, 3 diffusers, 7 ports</v>
      </c>
      <c r="G74" t="s">
        <v>93</v>
      </c>
      <c r="H74">
        <f>(226.92+8*3+40)*1.175</f>
        <v>341.831</v>
      </c>
      <c r="J74" t="str">
        <v>tim quote</v>
      </c>
    </row>
    <row r="75" spans="3:13">
      <c r="E75" t="str">
        <v>123l store, no coils</v>
      </c>
      <c r="F75" t="str">
        <v>1050*400, 75mm ins, 3 diffusers, 7 ports</v>
      </c>
      <c r="G75" t="s">
        <v>93</v>
      </c>
      <c r="H75">
        <f>$H74-75</f>
        <v>266.831</v>
      </c>
    </row>
    <row r="76" spans="3:13">
      <c r="E76" t="s">
        <v>92</v>
      </c>
      <c r="F76" t="s">
        <v>94</v>
      </c>
      <c r="G76" t="s">
        <v>93</v>
      </c>
      <c r="H76">
        <f>454.78*1.175</f>
        <v>534.3665</v>
      </c>
    </row>
    <row r="77" spans="3:13">
      <c r="E77" t="str">
        <v>210l store, solar coil</v>
      </c>
      <c r="F77" t="s">
        <v>94</v>
      </c>
      <c r="G77" t="s">
        <v>93</v>
      </c>
      <c r="H77">
        <f>526.23*1.175</f>
        <v>618.32025</v>
      </c>
    </row>
    <row r="78" spans="3:13">
      <c r="E78" t="str">
        <v>210l store, boiler coil</v>
      </c>
      <c r="F78" t="str">
        <v>1500*450, 75mmins, 5sensor,7boss</v>
      </c>
      <c r="G78" t="s">
        <v>93</v>
      </c>
      <c r="H78">
        <f>501.87*1.175</f>
        <v>589.69725</v>
      </c>
    </row>
    <row r="80" spans="3:13">
      <c r="C80" t="s">
        <v>95</v>
      </c>
      <c r="E80" t="s">
        <v>80</v>
      </c>
      <c r="F80" t="str">
        <v>100kW</v>
      </c>
      <c r="G80" t="s">
        <v>96</v>
      </c>
      <c r="H80">
        <f>65*1.175</f>
        <v>76.375</v>
      </c>
    </row>
    <row r="81" spans="3:13">
      <c r="E81" t="str">
        <v>Flow switch</v>
      </c>
      <c r="G81" t="s">
        <v>96</v>
      </c>
      <c r="H81">
        <f>30*1.175</f>
        <v>35.25</v>
      </c>
    </row>
    <row r="82" spans="3:13">
      <c r="E82" t="str">
        <v>Pump</v>
      </c>
      <c r="F82" t="str">
        <v>45W, DAB VA55/130</v>
      </c>
      <c r="G82" t="str">
        <v>bes</v>
      </c>
      <c r="H82">
        <f>25.6*1.175</f>
        <v>30.08</v>
      </c>
      <c r="J82">
        <v>13926</v>
      </c>
    </row>
    <row r="83" spans="3:13">
      <c r="E83" t="s">
        <v>97</v>
      </c>
      <c r="F83" t="str">
        <v>40l @1bar</v>
      </c>
      <c r="G83" t="str">
        <v>hav</v>
      </c>
      <c r="H83">
        <v>47.32</v>
      </c>
      <c r="J83" t="str">
        <v>HEAT219058</v>
      </c>
      <c r="K83" t="str">
        <v>RWC UFH</v>
      </c>
      <c r="L83" t="str">
        <v>http://www.hav.co.uk/products/shw-detail.asp?pid=12917&amp;cid=996</v>
      </c>
      <c r="M83" t="str">
        <v>http://www.rwc.co.uk/Public/tmv/22mmUFH.pdf</v>
      </c>
    </row>
    <row r="84" spans="3:13">
      <c r="E84" t="s">
        <v>97</v>
      </c>
      <c r="G84" t="s">
        <v>50</v>
      </c>
      <c r="H84">
        <v>39</v>
      </c>
    </row>
    <row r="85" spans="3:13">
      <c r="E85" t="s">
        <v>76</v>
      </c>
      <c r="F85" t="str">
        <v>8l</v>
      </c>
      <c r="G85" t="s">
        <v>75</v>
      </c>
      <c r="H85">
        <f>16.12*1.175</f>
        <v>18.941</v>
      </c>
      <c r="J85">
        <v>11350</v>
      </c>
    </row>
    <row r="86" spans="3:13">
      <c r="E86" t="s">
        <v>97</v>
      </c>
      <c r="F86" t="str">
        <v>20l @1bar</v>
      </c>
      <c r="G86" t="s">
        <v>82</v>
      </c>
      <c r="H86">
        <v>25</v>
      </c>
      <c r="K86" t="str">
        <v>Triton</v>
      </c>
    </row>
    <row r="88" spans="3:13">
      <c r="E88" t="str">
        <v>Boilers - open vent</v>
      </c>
    </row>
    <row r="89" spans="3:13">
      <c r="E89" t="s">
        <v>98</v>
      </c>
      <c r="F89" t="s">
        <v>99</v>
      </c>
      <c r="G89" t="s">
        <v>100</v>
      </c>
      <c r="H89">
        <v>714.4</v>
      </c>
      <c r="J89">
        <v>7179919</v>
      </c>
      <c r="K89" t="s">
        <v>101</v>
      </c>
      <c r="L89" t="s">
        <v>102</v>
      </c>
    </row>
    <row r="90" spans="3:13">
      <c r="E90" t="s">
        <v>103</v>
      </c>
      <c r="G90" t="s">
        <v>100</v>
      </c>
      <c r="H90">
        <v>58.75</v>
      </c>
      <c r="J90">
        <v>7184319</v>
      </c>
      <c r="K90" t="s">
        <v>101</v>
      </c>
      <c r="L90" t="s">
        <v>102</v>
      </c>
    </row>
    <row r="91" spans="3:13">
      <c r="E91" t="s">
        <v>98</v>
      </c>
      <c r="F91" t="s">
        <v>99</v>
      </c>
      <c r="G91" t="s">
        <v>104</v>
      </c>
      <c r="H91">
        <v>690.9</v>
      </c>
      <c r="J91">
        <v>7179920</v>
      </c>
      <c r="L91" t="str">
        <v>http://www.bhl.co.uk/product/VMAN_VDENS100_24HE_OV_BLR_WB1A102_9919</v>
      </c>
    </row>
    <row r="92" spans="3:13">
      <c r="E92" t="s">
        <v>103</v>
      </c>
      <c r="G92" t="s">
        <v>104</v>
      </c>
      <c r="H92">
        <v>52.88</v>
      </c>
      <c r="J92">
        <v>7184319</v>
      </c>
      <c r="K92" t="s">
        <v>101</v>
      </c>
      <c r="L92" t="str">
        <v>http://www.bhl.co.uk/product.php?productid=7229&amp;page=1</v>
      </c>
    </row>
    <row r="93" spans="3:13">
      <c r="E93" t="str">
        <v>Bruderus 600</v>
      </c>
      <c r="F93" t="str">
        <v>11KW</v>
      </c>
      <c r="G93" t="s">
        <v>100</v>
      </c>
      <c r="H93">
        <v>639.4</v>
      </c>
      <c r="K93" t="s">
        <v>105</v>
      </c>
      <c r="L93" t="str">
        <v>http://www.inspiredheating.co.uk/acatalog/BUDERUS_600_REGULAR_RANGE_CONDENSING_BOILERS.html</v>
      </c>
    </row>
    <row r="94" spans="3:13">
      <c r="E94" t="s">
        <v>103</v>
      </c>
      <c r="G94" t="s">
        <v>100</v>
      </c>
      <c r="H94">
        <v>58.75</v>
      </c>
      <c r="J94" t="str">
        <v>T000083702 / 7716191106</v>
      </c>
      <c r="K94" t="s">
        <v>105</v>
      </c>
    </row>
    <row r="95" spans="3:13">
      <c r="E95" t="str">
        <v>Atmos interopen HE22</v>
      </c>
      <c r="F95" t="str">
        <v>22KW</v>
      </c>
      <c r="H95">
        <f>541.26*1.175</f>
        <v>635.9805</v>
      </c>
      <c r="K95" t="str">
        <v>atmos</v>
      </c>
      <c r="L95" t="str">
        <v>http://www.tbsmerchants.co.uk/cgi-bin/build/product/PGAT.html</v>
      </c>
    </row>
    <row r="96" spans="3:13">
      <c r="E96" t="s">
        <v>103</v>
      </c>
    </row>
    <row r="97" spans="3:13">
      <c r="E97" t="str">
        <v>Vaillant Ecotex 415</v>
      </c>
      <c r="F97" t="str">
        <v>15Kw</v>
      </c>
    </row>
    <row r="99" spans="3:13">
      <c r="E99" t="str">
        <v>Veissmann Vitodens 200 Combi</v>
      </c>
      <c r="H99">
        <v>875.61</v>
      </c>
    </row>
    <row r="100" spans="3:13">
      <c r="E100" t="str">
        <v>Veissmann Vitodens 100 Combi</v>
      </c>
      <c r="H100">
        <v>807.23</v>
      </c>
    </row>
    <row r="101" spans="3:13">
      <c r="E101" t="s">
        <v>103</v>
      </c>
      <c r="H101">
        <v>45</v>
      </c>
    </row>
    <row r="102" spans="3:13">
      <c r="E102" t="s">
        <v>81</v>
      </c>
    </row>
    <row r="103" spans="3:13">
      <c r="E103" t="str">
        <v>Atmos intercombi</v>
      </c>
    </row>
    <row r="104" spans="3:13">
      <c r="C104" t="str">
        <v>Controls</v>
      </c>
      <c r="E104" t="str">
        <v>Flowmeter</v>
      </c>
      <c r="F104" t="str">
        <v>Digital, for solar loop</v>
      </c>
      <c r="G104" t="str">
        <v>flowmeters.co.uk</v>
      </c>
      <c r="H104">
        <v>39</v>
      </c>
      <c r="K104" t="str">
        <v>email</v>
      </c>
    </row>
    <row r="112" spans="3:13">
      <c r="E112" t="s">
        <v>106</v>
      </c>
      <c r="G112" t="s">
        <v>107</v>
      </c>
      <c r="H112">
        <f>1.37*1.175</f>
        <v>1.60975</v>
      </c>
      <c r="J112">
        <v>17687</v>
      </c>
    </row>
    <row r="113" spans="3:13">
      <c r="E113" t="str">
        <v>22mm compression tee</v>
      </c>
      <c r="G113" t="s">
        <v>107</v>
      </c>
      <c r="H113">
        <f>1.87*1.175</f>
        <v>2.19725</v>
      </c>
      <c r="J113">
        <v>17661</v>
      </c>
    </row>
    <row r="114" spans="3:13">
      <c r="E114" t="str">
        <v>pump isolating ball valves</v>
      </c>
      <c r="G114" t="s">
        <v>107</v>
      </c>
      <c r="H114">
        <f>2.37*1.175</f>
        <v>2.78475</v>
      </c>
      <c r="J114">
        <v>8132</v>
      </c>
    </row>
    <row r="116" spans="3:13">
      <c r="E116" t="str">
        <v>Y-pattern strainer</v>
      </c>
      <c r="G116" t="s">
        <v>107</v>
      </c>
      <c r="H116">
        <f>8.35*1.175</f>
        <v>9.81125</v>
      </c>
    </row>
    <row r="118" spans="3:13">
      <c r="C118" t="str">
        <v>Pipe</v>
      </c>
    </row>
    <row r="119" spans="3:13">
      <c r="E119" t="str">
        <v>Copper 22mm</v>
      </c>
      <c r="F119" t="s">
        <v>108</v>
      </c>
      <c r="G119" t="s">
        <v>109</v>
      </c>
      <c r="H119">
        <f>10.42*1.175</f>
        <v>12.2435</v>
      </c>
      <c r="J119">
        <v>10312</v>
      </c>
    </row>
    <row r="120" spans="3:13">
      <c r="F120" t="s">
        <v>110</v>
      </c>
      <c r="G120" t="s">
        <v>109</v>
      </c>
      <c r="H120">
        <f>6.94*1.75</f>
        <v>12.145</v>
      </c>
      <c r="J120">
        <v>10311</v>
      </c>
    </row>
    <row r="121" spans="3:13">
      <c r="E121" t="str">
        <v>Copper 15mm</v>
      </c>
      <c r="F121" t="s">
        <v>108</v>
      </c>
      <c r="G121" t="s">
        <v>109</v>
      </c>
      <c r="H121">
        <f>5.21*1.175</f>
        <v>6.12175</v>
      </c>
    </row>
    <row r="122" spans="3:13">
      <c r="F122" t="s">
        <v>108</v>
      </c>
      <c r="G122" t="s">
        <v>111</v>
      </c>
      <c r="H122">
        <f>1.42*3*1.175</f>
        <v>5.0055</v>
      </c>
    </row>
    <row r="123" spans="3:13">
      <c r="F123" t="s">
        <v>110</v>
      </c>
      <c r="G123" t="s">
        <v>109</v>
      </c>
      <c r="H123">
        <f>3.47*1.175</f>
        <v>4.07725</v>
      </c>
    </row>
    <row r="124" spans="3:13">
      <c r="F124" t="s">
        <v>110</v>
      </c>
      <c r="G124" t="s">
        <v>111</v>
      </c>
      <c r="H124">
        <f>1.42*2*1.175</f>
        <v>3.337</v>
      </c>
    </row>
    <row r="125" spans="3:13">
      <c r="E125" t="str">
        <v>Hep20 15mm</v>
      </c>
      <c r="F125" t="str">
        <v>50m</v>
      </c>
      <c r="G125" t="s">
        <v>112</v>
      </c>
      <c r="H125">
        <v>40.94</v>
      </c>
      <c r="L125" t="str">
        <v>http://www.plumbworld.co.uk/298-0000</v>
      </c>
    </row>
    <row r="130" spans="3:13">
      <c r="C130" t="s">
        <v>113</v>
      </c>
    </row>
    <row r="131" spans="3:13">
      <c r="E131" t="str">
        <v>Towel Rail 1800x600</v>
      </c>
      <c r="F131" t="str">
        <v>White, curved, 756Watts</v>
      </c>
      <c r="G131" t="s">
        <v>112</v>
      </c>
      <c r="H131">
        <v>72.97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8.xml><?xml version="1.0" encoding="utf-8"?>
<worksheet xmlns="http://schemas.openxmlformats.org/spreadsheetml/2006/main" xmlns:r="http://schemas.openxmlformats.org/officeDocument/2006/relationships">
  <dimension ref="A1:I20"/>
  <sheetViews>
    <sheetView workbookViewId="0">
      <selection activeCell="A19" sqref="A19"/>
    </sheetView>
  </sheetViews>
  <sheetFormatPr defaultRowHeight="12.75"/>
  <cols>
    <col min="1" max="1" width="47.99712" customWidth="1"/>
    <col min="2" max="9" width="9.142308"/>
  </cols>
  <sheetData>
    <row r="1" spans="1:9">
      <c r="A1" t="str">
        <v>Plumbing orders</v>
      </c>
    </row>
    <row r="2" spans="1:9">
      <c r="C2" t="s">
        <v>111</v>
      </c>
      <c r="E2">
        <f>sum(E4:E22)</f>
        <v>51.8</v>
      </c>
      <c r="F2" t="s">
        <v>107</v>
      </c>
      <c r="H2">
        <f>sum(H4:H22)</f>
        <v>52.9933333333333</v>
      </c>
    </row>
    <row r="3" spans="1:9">
      <c r="A3" t="s">
        <v>69</v>
      </c>
      <c r="B3" t="str">
        <v>number</v>
      </c>
      <c r="C3" t="s">
        <v>114</v>
      </c>
      <c r="D3" t="str">
        <v>price (ex)</v>
      </c>
      <c r="E3" t="s">
        <v>57</v>
      </c>
      <c r="F3" t="s">
        <v>114</v>
      </c>
      <c r="G3" t="str">
        <v>price (ex vat)</v>
      </c>
    </row>
    <row r="4" spans="1:9">
      <c r="A4" t="str">
        <v>1"BSP parallel female tee</v>
      </c>
      <c r="B4">
        <v>1</v>
      </c>
      <c r="C4" t="str">
        <v>B161</v>
      </c>
      <c r="D4">
        <v>1.93</v>
      </c>
      <c r="E4">
        <f>D4*B4</f>
        <v>1.93</v>
      </c>
      <c r="F4">
        <v>6546</v>
      </c>
      <c r="G4">
        <v>2.38</v>
      </c>
      <c r="H4">
        <f>G4*B4</f>
        <v>2.38</v>
      </c>
    </row>
    <row r="5" spans="1:9">
      <c r="A5" t="str">
        <v>1"BSP parallel male to 22mm compression joiner</v>
      </c>
      <c r="B5">
        <v>1</v>
      </c>
      <c r="C5" t="str">
        <v>PX42</v>
      </c>
      <c r="D5">
        <v>1.47</v>
      </c>
      <c r="E5">
        <f>D5*B5</f>
        <v>1.47</v>
      </c>
      <c r="F5">
        <v>17637</v>
      </c>
      <c r="G5">
        <v>1.41</v>
      </c>
      <c r="H5">
        <f>G5*B5</f>
        <v>1.41</v>
      </c>
    </row>
    <row r="6" spans="1:9">
      <c r="A6" t="str">
        <v>1"BSP fibre washer</v>
      </c>
      <c r="B6">
        <v>5</v>
      </c>
      <c r="E6">
        <f>D6*B6</f>
        <v>0</v>
      </c>
      <c r="F6">
        <v>2415</v>
      </c>
      <c r="G6">
        <v>0.11</v>
      </c>
      <c r="H6">
        <f>G6*B6</f>
        <v>0.55</v>
      </c>
    </row>
    <row r="7" spans="1:9">
      <c r="A7" t="str">
        <v>1"BSP male cap</v>
      </c>
      <c r="B7">
        <v>1</v>
      </c>
      <c r="C7" t="str">
        <v>B185</v>
      </c>
      <c r="D7">
        <v>0.95</v>
      </c>
      <c r="E7">
        <f>D7*B7</f>
        <v>0.95</v>
      </c>
      <c r="F7">
        <v>6595</v>
      </c>
      <c r="G7">
        <v>0.98</v>
      </c>
      <c r="H7">
        <f>G7*B7</f>
        <v>0.98</v>
      </c>
    </row>
    <row r="8" spans="1:9">
      <c r="A8" t="str">
        <v>1"BSP taper Hex nipple</v>
      </c>
      <c r="B8">
        <v>1</v>
      </c>
      <c r="C8" t="str">
        <v>B144</v>
      </c>
      <c r="D8">
        <v>1.01</v>
      </c>
      <c r="E8">
        <f>D8*B8</f>
        <v>1.01</v>
      </c>
      <c r="F8">
        <v>6584</v>
      </c>
      <c r="G8">
        <v>2.59</v>
      </c>
      <c r="H8">
        <f>G8*B8</f>
        <v>2.59</v>
      </c>
    </row>
    <row r="9" spans="1:9">
      <c r="A9" t="str">
        <v>1"BSP parallel running nipple</v>
      </c>
      <c r="B9">
        <v>1</v>
      </c>
      <c r="E9">
        <f>D9*B9</f>
        <v>0</v>
      </c>
      <c r="F9">
        <v>6578</v>
      </c>
      <c r="G9">
        <v>1.92</v>
      </c>
      <c r="H9">
        <f>G9*B9</f>
        <v>1.92</v>
      </c>
    </row>
    <row r="10" spans="1:9">
      <c r="A10" t="str">
        <v>Boss White tub, 400g</v>
      </c>
      <c r="B10">
        <v>1</v>
      </c>
      <c r="E10">
        <f>D10*B10</f>
        <v>0</v>
      </c>
      <c r="F10">
        <v>6878</v>
      </c>
      <c r="G10">
        <v>1.15</v>
      </c>
      <c r="H10">
        <f>G10*B10</f>
        <v>1.15</v>
      </c>
    </row>
    <row r="11" spans="1:9">
      <c r="A11" t="str">
        <v>Hawk White jointing paste, 400g</v>
      </c>
      <c r="B11">
        <v>1</v>
      </c>
      <c r="D11">
        <v>1.98</v>
      </c>
      <c r="E11">
        <f>D11*B11</f>
        <v>1.98</v>
      </c>
      <c r="H11">
        <f>G11*B11</f>
        <v>0</v>
      </c>
    </row>
    <row r="12" spans="1:9">
      <c r="A12" t="str">
        <v>1"BSP Stop cap</v>
      </c>
      <c r="B12">
        <v>1</v>
      </c>
      <c r="C12" t="str">
        <v>B147</v>
      </c>
      <c r="D12">
        <v>0.8</v>
      </c>
      <c r="E12">
        <f>D12*B12</f>
        <v>0.8</v>
      </c>
      <c r="F12">
        <v>6609</v>
      </c>
      <c r="G12">
        <v>0.69</v>
      </c>
      <c r="H12">
        <f>G12*B12</f>
        <v>0.69</v>
      </c>
    </row>
    <row r="13" spans="1:9">
      <c r="A13" t="str">
        <v>22mm copper tube, 3m</v>
      </c>
      <c r="B13">
        <v>4</v>
      </c>
      <c r="D13">
        <f>D14*2</f>
        <v>2.86</v>
      </c>
      <c r="E13">
        <f>D13*B13</f>
        <v>11.44</v>
      </c>
      <c r="F13">
        <v>10312</v>
      </c>
      <c r="G13">
        <f>10.42/3</f>
        <v>3.47333333333333</v>
      </c>
      <c r="H13">
        <f>G13*B13</f>
        <v>13.8933333333333</v>
      </c>
    </row>
    <row r="14" spans="1:9">
      <c r="A14" t="str">
        <v>15mm copper tube, 1m</v>
      </c>
      <c r="B14">
        <v>12</v>
      </c>
      <c r="D14">
        <f>1.43</f>
        <v>1.43</v>
      </c>
      <c r="E14">
        <f>D14*B14</f>
        <v>17.16</v>
      </c>
      <c r="F14">
        <v>10310</v>
      </c>
      <c r="G14">
        <f>5.21/3</f>
        <v>1.73666666666667</v>
      </c>
      <c r="H14">
        <f>G14*B14</f>
        <v>20.84</v>
      </c>
      <c r="I14">
        <f>G13/G14</f>
        <v>2</v>
      </c>
    </row>
    <row r="15" spans="1:9">
      <c r="A15" t="str">
        <v>22mm yorkshire straight connector</v>
      </c>
      <c r="B15">
        <v>8</v>
      </c>
      <c r="C15" t="str">
        <v>YP21</v>
      </c>
      <c r="D15">
        <v>0.44</v>
      </c>
      <c r="E15">
        <f>D15*B15</f>
        <v>3.52</v>
      </c>
      <c r="H15">
        <f>G15*B15</f>
        <v>0</v>
      </c>
    </row>
    <row r="16" spans="1:9">
      <c r="A16" t="str">
        <v>22mm yorkshire elbow</v>
      </c>
      <c r="B16">
        <v>2</v>
      </c>
      <c r="C16" t="str">
        <v>YPS12</v>
      </c>
      <c r="D16">
        <v>0.78</v>
      </c>
      <c r="E16">
        <f>D16*B16</f>
        <v>1.56</v>
      </c>
      <c r="H16">
        <f>G16*B16</f>
        <v>0</v>
      </c>
    </row>
    <row r="17" spans="1:9">
      <c r="A17" t="str">
        <v>22mm compression connector</v>
      </c>
      <c r="B17">
        <v>2</v>
      </c>
      <c r="C17" t="str">
        <v>PX40</v>
      </c>
      <c r="D17">
        <f>1.24</f>
        <v>1.24</v>
      </c>
      <c r="E17">
        <f>D17*B17</f>
        <v>2.48</v>
      </c>
      <c r="F17">
        <v>17590</v>
      </c>
      <c r="G17">
        <v>1.24</v>
      </c>
      <c r="H17">
        <f>G17*B17</f>
        <v>2.48</v>
      </c>
    </row>
    <row r="18" spans="1:9">
      <c r="A18" t="s">
        <v>106</v>
      </c>
      <c r="B18">
        <v>3</v>
      </c>
      <c r="C18" t="str">
        <v>PX44</v>
      </c>
      <c r="D18">
        <v>1.48</v>
      </c>
      <c r="E18">
        <f>D18*B18</f>
        <v>4.44</v>
      </c>
      <c r="F18">
        <v>17687</v>
      </c>
      <c r="G18">
        <v>1.37</v>
      </c>
      <c r="H18">
        <f>G18*B18</f>
        <v>4.11</v>
      </c>
    </row>
    <row r="19" spans="1:9">
      <c r="A19" t="str">
        <v>Gas meter Flex connector 1" BS746 female swivel to 1" BSP male taper</v>
      </c>
      <c r="B19">
        <v>1</v>
      </c>
      <c r="D19">
        <v>3.06</v>
      </c>
      <c r="E19">
        <f>D19*B19</f>
        <v>3.06</v>
      </c>
      <c r="H19">
        <f>G19*B19</f>
        <v>0</v>
      </c>
    </row>
    <row r="20" spans="1:9">
      <c r="A20"/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</worksheet>
</file>

<file path=xl/worksheets/sheet9.xml><?xml version="1.0" encoding="utf-8"?>
<worksheet xmlns="http://schemas.openxmlformats.org/spreadsheetml/2006/main" xmlns:r="http://schemas.openxmlformats.org/officeDocument/2006/relationships">
  <dimension ref="A1:O105"/>
  <sheetViews>
    <sheetView topLeftCell="A23" workbookViewId="0">
      <selection activeCell="I68" sqref="I68"/>
    </sheetView>
  </sheetViews>
  <sheetFormatPr defaultRowHeight="12.75"/>
  <cols>
    <col min="1" max="1" width="10.99934" customWidth="1"/>
    <col min="2" max="2" width="9.142308"/>
    <col min="3" max="3" width="11.28504" customWidth="1"/>
    <col min="4" max="4" width="18.42746" bestFit="1" customWidth="1"/>
    <col min="5" max="5" width="9.142308"/>
    <col min="6" max="6" width="10.85649" customWidth="1"/>
    <col min="7" max="7" width="10.14225" customWidth="1"/>
    <col min="8" max="8" width="10.71364" customWidth="1"/>
    <col min="9" max="9" width="10.42794" customWidth="1"/>
    <col min="10" max="10" width="10.99934" customWidth="1"/>
    <col min="11" max="11" width="9.713702" customWidth="1"/>
    <col min="12" max="12" width="9.142308"/>
  </cols>
  <sheetData>
    <row r="1" spans="1:15">
      <c r="A1" t="str">
        <v>Pipe Sizing calcs</v>
      </c>
    </row>
    <row r="3" spans="1:15">
      <c r="A3" t="s">
        <v>10</v>
      </c>
    </row>
    <row r="4" spans="1:15" ht="43.5" customHeight="1">
      <c r="A4" t="s">
        <v>115</v>
      </c>
      <c r="B4" t="s">
        <v>116</v>
      </c>
      <c r="C4" t="str">
        <v>Extra lengthdue to fittings</v>
      </c>
      <c r="D4" t="s">
        <v>117</v>
      </c>
      <c r="E4" t="s">
        <v>118</v>
      </c>
      <c r="F4" t="str">
        <v>Required Gas flow rate</v>
      </c>
      <c r="G4" t="s">
        <v>119</v>
      </c>
      <c r="H4" t="str">
        <v>max length allowed</v>
      </c>
      <c r="I4" t="s">
        <v>120</v>
      </c>
      <c r="J4" t="str">
        <v>Progresive pressure loss</v>
      </c>
      <c r="K4" t="s">
        <v>121</v>
      </c>
    </row>
    <row r="5" spans="1:15">
      <c r="B5" t="s">
        <v>122</v>
      </c>
      <c r="C5" t="s">
        <v>122</v>
      </c>
      <c r="D5" t="s">
        <v>122</v>
      </c>
      <c r="F5" t="str">
        <v>m3/h</v>
      </c>
      <c r="G5" t="s">
        <v>123</v>
      </c>
      <c r="H5" t="s">
        <v>122</v>
      </c>
      <c r="I5" t="s">
        <v>124</v>
      </c>
      <c r="J5" t="s">
        <v>124</v>
      </c>
    </row>
    <row r="6" spans="1:15">
      <c r="A6" t="s">
        <v>67</v>
      </c>
      <c r="B6">
        <f>2.4+0.6+4.6+1.6+1.6</f>
        <v>10.8</v>
      </c>
      <c r="C6">
        <f>0.5*4+0.3*0</f>
        <v>2</v>
      </c>
      <c r="D6">
        <f>B6+C6</f>
        <v>12.8</v>
      </c>
      <c r="E6">
        <v>18</v>
      </c>
      <c r="F6">
        <f>E6*3.6/38.5</f>
        <v>1.68311688311688</v>
      </c>
      <c r="G6">
        <v>15</v>
      </c>
      <c r="H6">
        <v>7</v>
      </c>
      <c r="I6">
        <f>D6/H6</f>
        <v>1.82857142857143</v>
      </c>
      <c r="J6">
        <f>I6</f>
        <v>1.82857142857143</v>
      </c>
      <c r="K6" t="str">
        <v>Too small</v>
      </c>
    </row>
    <row r="7" spans="1:15">
      <c r="A7" t="s">
        <v>67</v>
      </c>
      <c r="B7">
        <f>2.4+0.6+4.6+1.6+1.6</f>
        <v>10.8</v>
      </c>
      <c r="C7">
        <f>0.5*4+0.3*0</f>
        <v>2</v>
      </c>
      <c r="D7">
        <f>B7+C7</f>
        <v>12.8</v>
      </c>
      <c r="E7">
        <v>18</v>
      </c>
      <c r="F7">
        <f>E7*3.6/38.5</f>
        <v>1.68311688311688</v>
      </c>
      <c r="G7">
        <v>22</v>
      </c>
      <c r="H7">
        <v>30</v>
      </c>
      <c r="I7">
        <f>D7/H7</f>
        <v>0.426666666666667</v>
      </c>
      <c r="J7">
        <f>I7</f>
        <v>0.426666666666667</v>
      </c>
      <c r="K7" t="s">
        <v>125</v>
      </c>
    </row>
    <row r="8" spans="1:15">
      <c r="A8" t="s">
        <v>67</v>
      </c>
      <c r="B8">
        <f>2.4+0.6+4.6+1.6+1.6</f>
        <v>10.8</v>
      </c>
      <c r="C8">
        <f>0.5*4+0.3*0</f>
        <v>2</v>
      </c>
      <c r="D8">
        <f>B8+C8</f>
        <v>12.8</v>
      </c>
      <c r="E8">
        <v>27</v>
      </c>
      <c r="F8">
        <f>E8*3.6/38.5</f>
        <v>2.52467532467532</v>
      </c>
      <c r="G8">
        <v>22</v>
      </c>
      <c r="H8">
        <v>26</v>
      </c>
      <c r="I8">
        <f>D8/H8</f>
        <v>0.492307692307692</v>
      </c>
      <c r="J8">
        <f>I8</f>
        <v>0.492307692307692</v>
      </c>
      <c r="K8" t="s">
        <v>125</v>
      </c>
    </row>
    <row r="16" spans="1:15">
      <c r="E16" t="str">
        <v>Length of pipe (m)</v>
      </c>
    </row>
    <row r="17" spans="1:15">
      <c r="D17" t="str">
        <v>pipesize(mm)</v>
      </c>
      <c r="E17">
        <v>3</v>
      </c>
      <c r="F17">
        <v>6</v>
      </c>
      <c r="G17">
        <v>9</v>
      </c>
      <c r="H17">
        <v>12</v>
      </c>
      <c r="I17">
        <v>15</v>
      </c>
      <c r="J17">
        <v>20</v>
      </c>
      <c r="K17">
        <v>25</v>
      </c>
      <c r="L17">
        <v>30</v>
      </c>
    </row>
    <row r="18" spans="1:15">
      <c r="D18">
        <v>10</v>
      </c>
      <c r="E18">
        <v>0.86</v>
      </c>
      <c r="F18">
        <v>0.57</v>
      </c>
      <c r="G18">
        <v>0.5</v>
      </c>
      <c r="H18">
        <v>0.37</v>
      </c>
      <c r="I18">
        <v>0.3</v>
      </c>
      <c r="J18">
        <v>0.22</v>
      </c>
      <c r="K18">
        <v>0.18</v>
      </c>
      <c r="L18">
        <v>0.15</v>
      </c>
    </row>
    <row r="19" spans="1:15">
      <c r="D19">
        <v>12</v>
      </c>
      <c r="E19">
        <v>1.5</v>
      </c>
      <c r="F19">
        <v>1</v>
      </c>
      <c r="G19">
        <v>0.85</v>
      </c>
      <c r="H19">
        <v>0.82</v>
      </c>
      <c r="I19">
        <v>0.69</v>
      </c>
      <c r="J19">
        <v>0.52</v>
      </c>
      <c r="K19">
        <v>0.41</v>
      </c>
      <c r="L19">
        <v>0.34</v>
      </c>
    </row>
    <row r="20" spans="1:15">
      <c r="D20">
        <v>15</v>
      </c>
      <c r="E20">
        <v>2.9</v>
      </c>
      <c r="F20">
        <v>1.9</v>
      </c>
      <c r="G20">
        <v>1.5</v>
      </c>
      <c r="H20">
        <v>1.3</v>
      </c>
      <c r="I20">
        <v>1.1</v>
      </c>
      <c r="J20">
        <v>0.95</v>
      </c>
      <c r="K20">
        <v>0.92</v>
      </c>
      <c r="L20">
        <v>0.88</v>
      </c>
    </row>
    <row r="21" spans="1:15">
      <c r="D21">
        <v>22</v>
      </c>
      <c r="E21">
        <v>8.7</v>
      </c>
      <c r="F21">
        <v>5.8</v>
      </c>
      <c r="G21">
        <v>4.6</v>
      </c>
      <c r="H21">
        <v>3.9</v>
      </c>
      <c r="I21">
        <v>3.4</v>
      </c>
      <c r="J21">
        <v>2.9</v>
      </c>
      <c r="K21">
        <v>2.5</v>
      </c>
      <c r="L21">
        <v>2.3</v>
      </c>
    </row>
    <row r="22" spans="1:15">
      <c r="D22">
        <v>28</v>
      </c>
      <c r="E22">
        <v>18</v>
      </c>
      <c r="F22">
        <v>12</v>
      </c>
      <c r="G22">
        <v>9.4</v>
      </c>
      <c r="H22">
        <v>8</v>
      </c>
      <c r="I22">
        <v>7</v>
      </c>
      <c r="J22">
        <v>5.9</v>
      </c>
      <c r="K22">
        <v>5.2</v>
      </c>
      <c r="L22">
        <v>4.7</v>
      </c>
    </row>
    <row r="46" spans="1:15">
      <c r="A46" t="str">
        <v>Water</v>
      </c>
    </row>
    <row r="47" spans="1:15" ht="39.75" customHeight="1">
      <c r="A47" t="s">
        <v>115</v>
      </c>
      <c r="B47" t="s">
        <v>116</v>
      </c>
      <c r="C47" t="str">
        <v>Extra length due to fittings</v>
      </c>
      <c r="D47" t="s">
        <v>117</v>
      </c>
      <c r="E47" t="s">
        <v>118</v>
      </c>
      <c r="F47" t="str">
        <v>Required flow @20C delta</v>
      </c>
      <c r="G47" t="s">
        <v>119</v>
      </c>
      <c r="I47" t="s">
        <v>120</v>
      </c>
      <c r="K47" t="s">
        <v>121</v>
      </c>
    </row>
    <row r="48" spans="1:15">
      <c r="B48" t="s">
        <v>122</v>
      </c>
      <c r="D48" t="s">
        <v>122</v>
      </c>
      <c r="E48" t="s">
        <v>20</v>
      </c>
      <c r="F48" t="s">
        <v>126</v>
      </c>
      <c r="G48" t="s">
        <v>123</v>
      </c>
    </row>
    <row r="49" spans="1:15">
      <c r="A49" t="str">
        <v>Boiler loop</v>
      </c>
      <c r="B49">
        <v>13</v>
      </c>
      <c r="C49">
        <v>0.5</v>
      </c>
      <c r="D49">
        <f>B49+C49</f>
        <v>13.5</v>
      </c>
      <c r="E49">
        <v>18</v>
      </c>
      <c r="F49">
        <f>E49/('DHW usage'!$I$2*20)/60</f>
        <v>12.9032258064516</v>
      </c>
      <c r="G49">
        <v>15</v>
      </c>
    </row>
    <row r="50" spans="1:15">
      <c r="E50">
        <v>8</v>
      </c>
      <c r="F50">
        <f>E50/('DHW usage'!$I$2*20)/60</f>
        <v>5.73476702508961</v>
      </c>
      <c r="G50">
        <v>15</v>
      </c>
    </row>
    <row r="52" spans="1:15" ht="24" customHeight="1">
      <c r="A52" t="str">
        <v>section</v>
      </c>
      <c r="C52" t="str">
        <v>heat transmission</v>
      </c>
      <c r="D52" t="s">
        <v>17</v>
      </c>
      <c r="E52" t="s">
        <v>127</v>
      </c>
      <c r="F52" t="s">
        <v>128</v>
      </c>
      <c r="G52" t="s">
        <v>128</v>
      </c>
      <c r="H52" t="s">
        <v>129</v>
      </c>
      <c r="I52" t="s">
        <v>120</v>
      </c>
      <c r="J52" t="s">
        <v>130</v>
      </c>
      <c r="K52" t="s">
        <v>131</v>
      </c>
    </row>
    <row r="53" spans="1:15">
      <c r="C53" t="s">
        <v>20</v>
      </c>
      <c r="D53" t="s">
        <v>4</v>
      </c>
      <c r="E53" t="s">
        <v>132</v>
      </c>
      <c r="F53" t="s">
        <v>133</v>
      </c>
      <c r="G53" t="s">
        <v>126</v>
      </c>
      <c r="H53" t="s">
        <v>123</v>
      </c>
      <c r="I53" t="s">
        <v>134</v>
      </c>
      <c r="J53" t="s">
        <v>122</v>
      </c>
      <c r="K53" t="s">
        <v>135</v>
      </c>
    </row>
    <row r="54" spans="1:15">
      <c r="A54" t="str">
        <v>boiler loop</v>
      </c>
      <c r="C54">
        <v>18</v>
      </c>
      <c r="D54">
        <v>20</v>
      </c>
      <c r="E54">
        <v>4.186</v>
      </c>
      <c r="F54">
        <f>C54/(D54*E54)</f>
        <v>0.215002388915432</v>
      </c>
      <c r="G54">
        <f>F54*60</f>
        <v>12.9001433349259</v>
      </c>
      <c r="H54">
        <v>22</v>
      </c>
      <c r="I54">
        <v>260</v>
      </c>
      <c r="J54">
        <v>13</v>
      </c>
      <c r="K54">
        <f>J54*I54</f>
        <v>3380</v>
      </c>
    </row>
    <row r="55" spans="1:15">
      <c r="C55">
        <v>8</v>
      </c>
      <c r="D55">
        <v>20</v>
      </c>
      <c r="E55">
        <v>4.186</v>
      </c>
      <c r="F55">
        <f>C55/(D55*E55)</f>
        <v>0.0955566172957477</v>
      </c>
      <c r="G55">
        <f>F55*60</f>
        <v>5.73339703774486</v>
      </c>
      <c r="H55">
        <v>15</v>
      </c>
      <c r="I55">
        <v>410</v>
      </c>
      <c r="J55">
        <v>13</v>
      </c>
      <c r="K55">
        <f>J55*I55</f>
        <v>5330</v>
      </c>
    </row>
    <row r="56" spans="1:15">
      <c r="A56" t="s">
        <v>113</v>
      </c>
      <c r="B56" t="str">
        <v>Emiter size</v>
      </c>
      <c r="C56" t="str">
        <v>+20% for pipes</v>
      </c>
      <c r="D56" t="s">
        <v>17</v>
      </c>
      <c r="E56" t="s">
        <v>127</v>
      </c>
      <c r="F56" t="s">
        <v>128</v>
      </c>
      <c r="G56" t="s">
        <v>128</v>
      </c>
      <c r="H56" t="s">
        <v>129</v>
      </c>
      <c r="I56" t="s">
        <v>120</v>
      </c>
      <c r="J56" t="s">
        <v>130</v>
      </c>
      <c r="K56" t="s">
        <v>131</v>
      </c>
    </row>
    <row r="57" spans="1:15">
      <c r="A57" t="str">
        <v>pipe section</v>
      </c>
      <c r="B57" t="s">
        <v>19</v>
      </c>
      <c r="C57" t="s">
        <v>19</v>
      </c>
      <c r="D57" t="s">
        <v>4</v>
      </c>
      <c r="E57" t="s">
        <v>132</v>
      </c>
      <c r="F57" t="s">
        <v>133</v>
      </c>
      <c r="G57" t="s">
        <v>126</v>
      </c>
      <c r="H57" t="s">
        <v>123</v>
      </c>
      <c r="I57" t="s">
        <v>134</v>
      </c>
      <c r="J57" t="s">
        <v>122</v>
      </c>
      <c r="K57" t="s">
        <v>135</v>
      </c>
    </row>
    <row r="58" spans="1:15">
      <c r="A58" t="str">
        <v>A</v>
      </c>
    </row>
    <row r="59" spans="1:15">
      <c r="A59" t="str">
        <v>B</v>
      </c>
    </row>
    <row r="60" spans="1:15">
      <c r="A60" t="s">
        <v>4</v>
      </c>
    </row>
    <row r="61" spans="1:15">
      <c r="A61" t="str">
        <v>D</v>
      </c>
    </row>
    <row r="62" spans="1:15">
      <c r="A62" t="str">
        <v>E</v>
      </c>
    </row>
    <row r="63" spans="1:15">
      <c r="A63" t="str">
        <v>F</v>
      </c>
    </row>
    <row r="65" spans="1:15">
      <c r="A65" t="str">
        <v>solar loop</v>
      </c>
    </row>
    <row r="66" spans="1:15">
      <c r="C66">
        <v>2</v>
      </c>
      <c r="D66">
        <f>C$66/(E$66*F$66)</f>
        <v>14.3334925943622</v>
      </c>
      <c r="E66">
        <v>4.186</v>
      </c>
      <c r="F66">
        <f>G66/60</f>
        <v>0.0333333333333333</v>
      </c>
      <c r="G66">
        <v>2</v>
      </c>
      <c r="H66">
        <v>10</v>
      </c>
      <c r="I66">
        <v>300</v>
      </c>
      <c r="J66">
        <v>13</v>
      </c>
      <c r="K66">
        <f>J66*I66</f>
        <v>3900</v>
      </c>
    </row>
    <row r="67" spans="1:15">
      <c r="C67">
        <v>0.2</v>
      </c>
      <c r="D67">
        <f>C$67/(E$67*F$67)</f>
        <v>2.86669851887243</v>
      </c>
      <c r="E67">
        <v>4.186</v>
      </c>
      <c r="F67">
        <f>G67/60</f>
        <v>0.0166666666666667</v>
      </c>
      <c r="G67">
        <v>1</v>
      </c>
      <c r="H67">
        <v>10</v>
      </c>
      <c r="I67">
        <v>180</v>
      </c>
      <c r="J67">
        <v>13</v>
      </c>
      <c r="K67">
        <f>J67*I67</f>
        <v>2340</v>
      </c>
    </row>
    <row r="68" spans="1:15">
      <c r="A68" t="str">
        <v>Optimal flow rates for diffusers/mantle: </v>
      </c>
      <c r="E68">
        <v>0.15</v>
      </c>
      <c r="F68">
        <v>0.2</v>
      </c>
      <c r="G68" t="str">
        <v>0.15-0.2l/min/m2 ofpanel (Combisystem report)</v>
      </c>
      <c r="J68">
        <f>E68*'Monthly overview '!$E$3</f>
        <v>0.675</v>
      </c>
      <c r="K68">
        <f>F68*'Monthly overview '!$E$3</f>
        <v>0.9</v>
      </c>
      <c r="L68" t="str">
        <v>l/min</v>
      </c>
    </row>
    <row r="72" spans="1:15">
      <c r="C72" t="str">
        <v>Flow Rate vs Pipe Size</v>
      </c>
    </row>
    <row r="74" spans="1:15">
      <c r="C74" t="str">
        <v>Flow rate (l/s)</v>
      </c>
    </row>
    <row r="75" spans="1:15">
      <c r="A75" t="str">
        <v>Pressure loss</v>
      </c>
      <c r="C75" t="s">
        <v>136</v>
      </c>
      <c r="D75" t="s">
        <v>137</v>
      </c>
      <c r="E75" t="s">
        <v>138</v>
      </c>
      <c r="F75" t="str">
        <v>28mm</v>
      </c>
      <c r="G75" t="str">
        <v>35mm</v>
      </c>
      <c r="H75" t="str">
        <v>42mm</v>
      </c>
      <c r="I75" t="str">
        <v>=pipe size</v>
      </c>
    </row>
    <row r="76" spans="1:15">
      <c r="A76">
        <v>90</v>
      </c>
      <c r="C76">
        <v>0.021</v>
      </c>
      <c r="D76">
        <v>0.04</v>
      </c>
      <c r="E76">
        <v>0.118</v>
      </c>
    </row>
    <row r="77" spans="1:15">
      <c r="A77">
        <v>92.5</v>
      </c>
      <c r="C77">
        <v>0.022</v>
      </c>
      <c r="D77">
        <v>0.041</v>
      </c>
      <c r="E77">
        <v>0.12</v>
      </c>
    </row>
    <row r="78" spans="1:15">
      <c r="A78">
        <v>95</v>
      </c>
      <c r="C78">
        <v>0.022</v>
      </c>
      <c r="D78">
        <v>0.042</v>
      </c>
      <c r="E78">
        <v>0.122</v>
      </c>
    </row>
    <row r="79" spans="1:15">
      <c r="A79">
        <v>97.5</v>
      </c>
      <c r="C79">
        <v>0.022</v>
      </c>
      <c r="D79">
        <v>0.042</v>
      </c>
      <c r="E79">
        <v>0.124</v>
      </c>
    </row>
    <row r="80" spans="1:15">
      <c r="A80">
        <v>100</v>
      </c>
      <c r="C80">
        <v>0.023</v>
      </c>
      <c r="D80">
        <v>0.043</v>
      </c>
      <c r="E80">
        <v>0.125</v>
      </c>
    </row>
    <row r="81" spans="1:15">
      <c r="A81">
        <v>120</v>
      </c>
      <c r="C81">
        <v>0.025</v>
      </c>
      <c r="D81">
        <v>0.047</v>
      </c>
      <c r="E81">
        <v>0.139</v>
      </c>
    </row>
    <row r="82" spans="1:15">
      <c r="A82">
        <v>140</v>
      </c>
      <c r="C82">
        <v>0.028</v>
      </c>
      <c r="D82">
        <v>0.052</v>
      </c>
      <c r="E82">
        <v>0.152</v>
      </c>
    </row>
    <row r="83" spans="1:15">
      <c r="A83">
        <v>160</v>
      </c>
      <c r="C83">
        <v>0.03</v>
      </c>
      <c r="D83">
        <v>0.056</v>
      </c>
      <c r="E83">
        <v>0.164</v>
      </c>
    </row>
    <row r="84" spans="1:15">
      <c r="A84">
        <v>180</v>
      </c>
      <c r="C84">
        <v>0.032</v>
      </c>
      <c r="D84">
        <v>0.06</v>
      </c>
      <c r="E84">
        <v>0.175</v>
      </c>
    </row>
    <row r="85" spans="1:15">
      <c r="A85">
        <v>200</v>
      </c>
      <c r="C85">
        <v>0.034</v>
      </c>
      <c r="D85">
        <v>0.064</v>
      </c>
      <c r="E85">
        <v>0.186</v>
      </c>
    </row>
    <row r="86" spans="1:15">
      <c r="A86">
        <v>220</v>
      </c>
      <c r="C86">
        <v>0.036</v>
      </c>
      <c r="D86">
        <v>0.067</v>
      </c>
      <c r="E86">
        <v>0.196</v>
      </c>
    </row>
    <row r="87" spans="1:15">
      <c r="A87">
        <v>240</v>
      </c>
      <c r="C87">
        <v>0.038</v>
      </c>
      <c r="D87">
        <v>0.071</v>
      </c>
      <c r="E87">
        <v>0.206</v>
      </c>
    </row>
    <row r="88" spans="1:15">
      <c r="A88">
        <v>260</v>
      </c>
      <c r="C88">
        <v>0.039</v>
      </c>
      <c r="D88">
        <v>0.074</v>
      </c>
      <c r="E88">
        <v>0.215</v>
      </c>
    </row>
    <row r="89" spans="1:15">
      <c r="A89">
        <v>280</v>
      </c>
      <c r="C89">
        <v>0.041</v>
      </c>
      <c r="D89">
        <v>0.077</v>
      </c>
      <c r="E89">
        <v>0.224</v>
      </c>
    </row>
    <row r="90" spans="1:15">
      <c r="A90">
        <v>300</v>
      </c>
      <c r="C90">
        <v>0.043</v>
      </c>
      <c r="D90">
        <v>0.08</v>
      </c>
      <c r="E90">
        <v>0.233</v>
      </c>
    </row>
    <row r="91" spans="1:15">
      <c r="A91">
        <v>320</v>
      </c>
      <c r="C91">
        <v>0.044</v>
      </c>
      <c r="D91">
        <v>0.083</v>
      </c>
      <c r="E91">
        <v>0.242</v>
      </c>
    </row>
    <row r="92" spans="1:15">
      <c r="A92">
        <v>340</v>
      </c>
      <c r="C92">
        <v>0.046</v>
      </c>
      <c r="D92">
        <v>0.086</v>
      </c>
      <c r="E92">
        <v>0.25</v>
      </c>
    </row>
    <row r="93" spans="1:15">
      <c r="A93">
        <v>360</v>
      </c>
      <c r="C93">
        <v>0.048</v>
      </c>
      <c r="D93">
        <v>0.089</v>
      </c>
      <c r="E93">
        <v>0.258</v>
      </c>
    </row>
    <row r="94" spans="1:15">
      <c r="A94">
        <v>380</v>
      </c>
      <c r="C94">
        <v>0.049</v>
      </c>
      <c r="D94">
        <v>0.092</v>
      </c>
      <c r="E94">
        <v>0.266</v>
      </c>
    </row>
    <row r="95" spans="1:15">
      <c r="A95">
        <v>400</v>
      </c>
      <c r="C95">
        <v>0.05</v>
      </c>
      <c r="D95">
        <v>0.094</v>
      </c>
      <c r="E95">
        <v>0.274</v>
      </c>
    </row>
    <row r="96" spans="1:15">
      <c r="A96">
        <v>420</v>
      </c>
      <c r="C96">
        <v>0.052</v>
      </c>
      <c r="D96">
        <v>0.097</v>
      </c>
      <c r="E96">
        <v>0.282</v>
      </c>
    </row>
    <row r="97" spans="1:15">
      <c r="A97">
        <v>440</v>
      </c>
      <c r="C97">
        <v>0.053</v>
      </c>
      <c r="D97">
        <v>0.099</v>
      </c>
      <c r="E97">
        <v>0.289</v>
      </c>
    </row>
    <row r="98" spans="1:15">
      <c r="A98">
        <v>460</v>
      </c>
      <c r="C98">
        <v>0.055</v>
      </c>
      <c r="D98">
        <v>0.102</v>
      </c>
      <c r="E98">
        <v>0.297</v>
      </c>
    </row>
    <row r="99" spans="1:15">
      <c r="A99">
        <v>480</v>
      </c>
      <c r="C99">
        <v>0.056</v>
      </c>
      <c r="D99">
        <v>0.104</v>
      </c>
      <c r="E99">
        <v>0.304</v>
      </c>
    </row>
    <row r="100" spans="1:15">
      <c r="A100">
        <v>500</v>
      </c>
      <c r="C100">
        <v>0.057</v>
      </c>
      <c r="D100">
        <v>0.107</v>
      </c>
      <c r="E100">
        <v>0.311</v>
      </c>
    </row>
    <row r="101" spans="1:15">
      <c r="A101">
        <v>520</v>
      </c>
      <c r="C101">
        <v>0.059</v>
      </c>
      <c r="D101">
        <v>0.109</v>
      </c>
      <c r="E101">
        <v>0.318</v>
      </c>
    </row>
    <row r="102" spans="1:15">
      <c r="A102">
        <v>540</v>
      </c>
      <c r="C102">
        <v>0.06</v>
      </c>
      <c r="D102">
        <v>0.112</v>
      </c>
      <c r="E102">
        <v>0.324</v>
      </c>
    </row>
    <row r="103" spans="1:15">
      <c r="A103">
        <v>560</v>
      </c>
      <c r="C103">
        <v>0.061</v>
      </c>
      <c r="D103">
        <v>0.114</v>
      </c>
      <c r="E103">
        <v>0.331</v>
      </c>
    </row>
    <row r="104" spans="1:15">
      <c r="A104">
        <v>580</v>
      </c>
      <c r="C104">
        <v>0.061</v>
      </c>
      <c r="D104">
        <v>0.116</v>
      </c>
      <c r="E104">
        <v>0.338</v>
      </c>
    </row>
    <row r="105" spans="1:15">
      <c r="A105">
        <v>600</v>
      </c>
      <c r="C105">
        <v>0.064</v>
      </c>
      <c r="D105">
        <v>0.119</v>
      </c>
      <c r="E105">
        <v>0.344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rintOptions/>
  <pageMargins left="1" right="1" top="1.667" bottom="1.667" header="1" footer="1"/>
  <pageSetup/>
  <drawing r:id="rId1"/>
</worksheet>
</file>